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argazdasagikamara-my.sharepoint.com/personal/sztahura_nak_hu/Documents/2025/talaj/"/>
    </mc:Choice>
  </mc:AlternateContent>
  <xr:revisionPtr revIDLastSave="0" documentId="8_{5CD84C97-8693-4074-B913-EAC0B415AFDD}" xr6:coauthVersionLast="47" xr6:coauthVersionMax="47" xr10:uidLastSave="{00000000-0000-0000-0000-000000000000}"/>
  <workbookProtection lockStructure="1" lockWindows="1"/>
  <bookViews>
    <workbookView xWindow="-108" yWindow="-108" windowWidth="23256" windowHeight="12576" tabRatio="650" activeTab="2" xr2:uid="{00000000-000D-0000-FFFF-FFFF00000000}"/>
  </bookViews>
  <sheets>
    <sheet name="átlag és trágyaszámoló" sheetId="1" r:id="rId1"/>
    <sheet name="hígtrágyás sertéstelep" sheetId="5" r:id="rId2"/>
    <sheet name="tágya és Ntartalma (59-2008FVM)" sheetId="2" r:id="rId3"/>
    <sheet name="Munka1" sheetId="6" r:id="rId4"/>
  </sheets>
  <definedNames>
    <definedName name="_xlnm._FilterDatabase" localSheetId="0" hidden="1">'átlag és trágyaszámoló'!$B$4:$V$106</definedName>
    <definedName name="_xlnm._FilterDatabase" localSheetId="1" hidden="1">'hígtrágyás sertéstelep'!$A$4:$W$41</definedName>
    <definedName name="_xlnm._FilterDatabase" localSheetId="2" hidden="1">'tágya és Ntartalma (59-2008FVM)'!$A$1:$J$41</definedName>
    <definedName name="_xlnm.Print_Titles" localSheetId="0">'átlag és trágyaszámoló'!$1:$4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69" i="1"/>
  <c r="Q17" i="1"/>
  <c r="Q43" i="1"/>
  <c r="S43" i="1" s="1"/>
  <c r="V43" i="1" s="1"/>
  <c r="Q44" i="1"/>
  <c r="S44" i="1" s="1"/>
  <c r="V44" i="1" s="1"/>
  <c r="S84" i="1"/>
  <c r="Q71" i="1"/>
  <c r="Q70" i="1" s="1"/>
  <c r="Q67" i="1"/>
  <c r="Q66" i="1" s="1"/>
  <c r="Q64" i="1"/>
  <c r="Q63" i="1" s="1"/>
  <c r="Q61" i="1"/>
  <c r="Q60" i="1" s="1"/>
  <c r="Q58" i="1"/>
  <c r="Q57" i="1" s="1"/>
  <c r="Q16" i="1" l="1"/>
  <c r="S71" i="1"/>
  <c r="V71" i="1" s="1"/>
  <c r="S67" i="1"/>
  <c r="V67" i="1" s="1"/>
  <c r="S64" i="1"/>
  <c r="V64" i="1" s="1"/>
  <c r="S61" i="1"/>
  <c r="V61" i="1" s="1"/>
  <c r="Q38" i="1"/>
  <c r="Q35" i="1"/>
  <c r="Q34" i="1" s="1"/>
  <c r="Q32" i="1"/>
  <c r="Q31" i="1" s="1"/>
  <c r="Q29" i="1"/>
  <c r="Q28" i="1" s="1"/>
  <c r="Q26" i="1"/>
  <c r="Q25" i="1" s="1"/>
  <c r="Q23" i="1"/>
  <c r="Q22" i="1" s="1"/>
  <c r="Q14" i="1"/>
  <c r="Q13" i="1" s="1"/>
  <c r="Q20" i="1"/>
  <c r="Q19" i="1" s="1"/>
  <c r="S19" i="1" s="1"/>
  <c r="Q9" i="1" l="1"/>
  <c r="Q6" i="1"/>
  <c r="S83" i="1"/>
  <c r="S6" i="1" l="1"/>
  <c r="V6" i="1" s="1"/>
  <c r="Q5" i="1"/>
  <c r="S9" i="1"/>
  <c r="V9" i="1" s="1"/>
  <c r="Q8" i="1"/>
  <c r="S8" i="1" s="1"/>
  <c r="V8" i="1" s="1"/>
  <c r="S17" i="1" l="1"/>
  <c r="V17" i="1" s="1"/>
  <c r="Q50" i="1"/>
  <c r="S20" i="1"/>
  <c r="V20" i="1" s="1"/>
  <c r="S23" i="1"/>
  <c r="V23" i="1" s="1"/>
  <c r="S26" i="1"/>
  <c r="V26" i="1" s="1"/>
  <c r="S29" i="1"/>
  <c r="V29" i="1" s="1"/>
  <c r="S32" i="1"/>
  <c r="V32" i="1" s="1"/>
  <c r="S35" i="1"/>
  <c r="V35" i="1" s="1"/>
  <c r="E40" i="1"/>
  <c r="F40" i="1"/>
  <c r="G40" i="1"/>
  <c r="H40" i="1"/>
  <c r="I40" i="1"/>
  <c r="J40" i="1"/>
  <c r="S14" i="1" l="1"/>
  <c r="V14" i="1" s="1"/>
  <c r="E20" i="5"/>
  <c r="F20" i="5"/>
  <c r="G20" i="5"/>
  <c r="H20" i="5"/>
  <c r="I20" i="5"/>
  <c r="J20" i="5"/>
  <c r="K20" i="5"/>
  <c r="L20" i="5"/>
  <c r="M20" i="5"/>
  <c r="N20" i="5"/>
  <c r="O20" i="5"/>
  <c r="P20" i="5"/>
  <c r="D20" i="5"/>
  <c r="S50" i="1"/>
  <c r="C21" i="2"/>
  <c r="R47" i="1"/>
  <c r="Q75" i="1"/>
  <c r="S75" i="1" s="1"/>
  <c r="V75" i="1" l="1"/>
  <c r="V77" i="1" s="1"/>
  <c r="S77" i="1"/>
  <c r="V50" i="1"/>
  <c r="Q5" i="5"/>
  <c r="Q11" i="1" l="1"/>
  <c r="S11" i="1" s="1"/>
  <c r="Q12" i="1"/>
  <c r="S12" i="1" s="1"/>
  <c r="V12" i="1" s="1"/>
  <c r="Q19" i="5"/>
  <c r="S19" i="5" s="1"/>
  <c r="Q18" i="5"/>
  <c r="S18" i="5" s="1"/>
  <c r="Q17" i="5"/>
  <c r="S17" i="5" s="1"/>
  <c r="Q16" i="5"/>
  <c r="S16" i="5" s="1"/>
  <c r="Q15" i="5"/>
  <c r="S15" i="5" s="1"/>
  <c r="Q14" i="5"/>
  <c r="S14" i="5" s="1"/>
  <c r="Q13" i="5"/>
  <c r="S13" i="5" s="1"/>
  <c r="Q12" i="5"/>
  <c r="S12" i="5" s="1"/>
  <c r="Q11" i="5"/>
  <c r="Q10" i="5"/>
  <c r="S10" i="5" s="1"/>
  <c r="Q9" i="5"/>
  <c r="S9" i="5" s="1"/>
  <c r="Q8" i="5"/>
  <c r="S8" i="5" s="1"/>
  <c r="Q7" i="5"/>
  <c r="S7" i="5" s="1"/>
  <c r="Q6" i="5"/>
  <c r="S6" i="5" s="1"/>
  <c r="S5" i="5"/>
  <c r="T5" i="5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Q76" i="1"/>
  <c r="S76" i="1" s="1"/>
  <c r="V76" i="1" s="1"/>
  <c r="Q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P69" i="1"/>
  <c r="O69" i="1"/>
  <c r="N69" i="1"/>
  <c r="M69" i="1"/>
  <c r="L69" i="1"/>
  <c r="K69" i="1"/>
  <c r="J69" i="1"/>
  <c r="I69" i="1"/>
  <c r="H69" i="1"/>
  <c r="G69" i="1"/>
  <c r="F69" i="1"/>
  <c r="E69" i="1"/>
  <c r="S66" i="1"/>
  <c r="V66" i="1" s="1"/>
  <c r="S63" i="1"/>
  <c r="S60" i="1"/>
  <c r="V60" i="1" s="1"/>
  <c r="S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Q55" i="1"/>
  <c r="S55" i="1" s="1"/>
  <c r="V55" i="1" s="1"/>
  <c r="Q54" i="1"/>
  <c r="S54" i="1" s="1"/>
  <c r="V54" i="1" s="1"/>
  <c r="Q53" i="1"/>
  <c r="S53" i="1" s="1"/>
  <c r="V53" i="1" s="1"/>
  <c r="Q52" i="1"/>
  <c r="S52" i="1" s="1"/>
  <c r="V52" i="1" s="1"/>
  <c r="Q51" i="1"/>
  <c r="S51" i="1" s="1"/>
  <c r="Q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Q47" i="1"/>
  <c r="S47" i="1" s="1"/>
  <c r="V47" i="1" s="1"/>
  <c r="Q46" i="1"/>
  <c r="S46" i="1" s="1"/>
  <c r="V46" i="1" s="1"/>
  <c r="Q45" i="1"/>
  <c r="S45" i="1" s="1"/>
  <c r="Q42" i="1"/>
  <c r="S42" i="1" s="1"/>
  <c r="V42" i="1" s="1"/>
  <c r="Q41" i="1"/>
  <c r="P40" i="1"/>
  <c r="O40" i="1"/>
  <c r="N40" i="1"/>
  <c r="M40" i="1"/>
  <c r="L40" i="1"/>
  <c r="K40" i="1"/>
  <c r="S34" i="1"/>
  <c r="V34" i="1" s="1"/>
  <c r="S31" i="1"/>
  <c r="V31" i="1" s="1"/>
  <c r="S28" i="1"/>
  <c r="V28" i="1" s="1"/>
  <c r="S25" i="1"/>
  <c r="V25" i="1" s="1"/>
  <c r="S22" i="1"/>
  <c r="V19" i="1"/>
  <c r="S16" i="1"/>
  <c r="V16" i="1" s="1"/>
  <c r="S13" i="1"/>
  <c r="S69" i="1" l="1"/>
  <c r="V51" i="1"/>
  <c r="S56" i="1"/>
  <c r="V13" i="1"/>
  <c r="V45" i="1"/>
  <c r="V63" i="1"/>
  <c r="V22" i="1"/>
  <c r="V11" i="1"/>
  <c r="W7" i="5"/>
  <c r="T7" i="5"/>
  <c r="W9" i="5"/>
  <c r="T9" i="5"/>
  <c r="W13" i="5"/>
  <c r="T13" i="5"/>
  <c r="W15" i="5"/>
  <c r="T15" i="5"/>
  <c r="W17" i="5"/>
  <c r="T17" i="5"/>
  <c r="W19" i="5"/>
  <c r="T19" i="5"/>
  <c r="W6" i="5"/>
  <c r="T6" i="5"/>
  <c r="W8" i="5"/>
  <c r="T8" i="5"/>
  <c r="W10" i="5"/>
  <c r="T10" i="5"/>
  <c r="W12" i="5"/>
  <c r="T12" i="5"/>
  <c r="W14" i="5"/>
  <c r="T14" i="5"/>
  <c r="W16" i="5"/>
  <c r="T16" i="5"/>
  <c r="W18" i="5"/>
  <c r="T18" i="5"/>
  <c r="W5" i="5"/>
  <c r="Q20" i="5"/>
  <c r="S11" i="5"/>
  <c r="S49" i="1"/>
  <c r="S70" i="1"/>
  <c r="S73" i="1" s="1"/>
  <c r="S5" i="1"/>
  <c r="S41" i="1"/>
  <c r="S48" i="1" s="1"/>
  <c r="S74" i="1"/>
  <c r="S80" i="1" l="1"/>
  <c r="V49" i="1"/>
  <c r="Q37" i="1"/>
  <c r="S37" i="1" s="1"/>
  <c r="S40" i="1" s="1"/>
  <c r="S38" i="1"/>
  <c r="S20" i="5"/>
  <c r="T11" i="5"/>
  <c r="T20" i="5" s="1"/>
  <c r="W11" i="5"/>
  <c r="W20" i="5" s="1"/>
  <c r="V57" i="1"/>
  <c r="V69" i="1" s="1"/>
  <c r="V70" i="1"/>
  <c r="V73" i="1" s="1"/>
  <c r="V74" i="1"/>
  <c r="V41" i="1"/>
  <c r="V48" i="1" s="1"/>
  <c r="V5" i="1"/>
  <c r="S78" i="1" l="1"/>
  <c r="Q80" i="1"/>
  <c r="Q86" i="1" s="1"/>
  <c r="S87" i="1"/>
  <c r="V56" i="1"/>
  <c r="V38" i="1"/>
  <c r="V37" i="1"/>
  <c r="V40" i="1" s="1"/>
  <c r="S22" i="5"/>
  <c r="S21" i="5"/>
  <c r="V20" i="5"/>
  <c r="Q31" i="5" s="1"/>
  <c r="U31" i="5"/>
  <c r="T23" i="5"/>
  <c r="U29" i="5" s="1"/>
  <c r="S24" i="5"/>
  <c r="V80" i="1"/>
  <c r="S86" i="1" l="1"/>
  <c r="F101" i="1" s="1"/>
  <c r="S104" i="1"/>
  <c r="V78" i="1"/>
  <c r="S101" i="1"/>
  <c r="S85" i="1"/>
  <c r="S88" i="1"/>
  <c r="S23" i="5"/>
  <c r="U80" i="1"/>
  <c r="O103" i="1" s="1"/>
  <c r="V83" i="1"/>
  <c r="V84" i="1"/>
  <c r="S93" i="1" l="1"/>
  <c r="V86" i="1"/>
  <c r="Q97" i="1" s="1"/>
  <c r="Q98" i="1" s="1"/>
  <c r="U103" i="1" s="1"/>
  <c r="Q103" i="1"/>
  <c r="Q101" i="1"/>
  <c r="O101" i="1" s="1"/>
  <c r="F104" i="1"/>
  <c r="I32" i="5"/>
  <c r="I29" i="5"/>
  <c r="V82" i="1"/>
  <c r="Q78" i="1"/>
  <c r="Q95" i="1" s="1"/>
  <c r="V81" i="1"/>
  <c r="D93" i="1"/>
  <c r="V85" i="1"/>
  <c r="S89" i="1" s="1"/>
  <c r="S90" i="1" s="1"/>
  <c r="D96" i="1"/>
  <c r="S96" i="1"/>
  <c r="S29" i="5"/>
  <c r="W23" i="5"/>
  <c r="S32" i="5"/>
  <c r="S98" i="1" l="1"/>
  <c r="Q93" i="1"/>
  <c r="Q29" i="5"/>
  <c r="U95" i="1"/>
  <c r="U93" i="1"/>
  <c r="U101" i="1"/>
  <c r="U100" i="1"/>
  <c r="S25" i="5"/>
  <c r="S26" i="5" s="1"/>
  <c r="W31" i="5" s="1"/>
  <c r="W29" i="5" l="1"/>
  <c r="W28" i="5"/>
  <c r="U26" i="5"/>
  <c r="S58" i="1"/>
  <c r="V58" i="1" s="1"/>
  <c r="V79" i="1" s="1"/>
  <c r="S106" i="1" s="1"/>
  <c r="S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Kovácsné Pécsy Eszter</author>
    <author>Eszter</author>
  </authors>
  <commentList>
    <comment ref="T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01 Hígtrágyás
02 Almos
03 Mélyalmos
04 Legeltetéses
05 Karámos
06 Egyéb</t>
        </r>
      </text>
    </comment>
    <comment ref="B11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Almozott tartásnál fejőházi technológia esetén a fejt tehenek alapján kell számolni
</t>
        </r>
      </text>
    </comment>
    <comment ref="B78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02 Almos
03 Mélyalmos
05 Karámos
06 Egyéb
</t>
        </r>
      </text>
    </comment>
    <comment ref="B79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04 Leheltetéses
05 Karám, kifutó</t>
        </r>
      </text>
    </comment>
    <comment ref="B80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01 Higtrágyás
</t>
        </r>
      </text>
    </comment>
    <comment ref="B90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B98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O98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Engedély alapján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Eszter</author>
    <author>Kovácsné Pécsy Eszter</author>
  </authors>
  <commentList>
    <comment ref="T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1. Hígtrágya &lt;10% SZA tartalom alatt 1000 kg/m3
2. Hígtrágya &gt; 10% SZA tartalom felett 950 kg/m3</t>
        </r>
      </text>
    </comment>
    <comment ref="U4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01 Hígtrágyás
02 Almos
03 Mélyalmos
04 Legeltetéses
05 Karámos
06 Egyéb</t>
        </r>
      </text>
    </comment>
    <comment ref="V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VIZSGÁLATI EREDMÉNY ALAPJÁN!</t>
        </r>
      </text>
    </comment>
    <comment ref="V5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59/2008. FVM.r. szerint: 4,2 kg/t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59/2008. FVM.r. szerint: 2,35 kg/t
</t>
        </r>
      </text>
    </comment>
    <comment ref="V7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V8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V9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B26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Q2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Engedély alapján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Eszter</author>
  </authors>
  <commentList>
    <comment ref="C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2. melléklet Irányelvek a trágyatermelés és _N terhelés kiszámításához
</t>
        </r>
      </text>
    </comment>
    <comment ref="H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2. melléklet Irányelvek a trágyatermelés és _N terhelés kiszámításához</t>
        </r>
      </text>
    </comment>
    <comment ref="H3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Számított érték: hígtrágya*1.2
</t>
        </r>
      </text>
    </comment>
    <comment ref="H3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2.16. táblázat: Magyarországon üzemel  baromfitartó telepek fajlagos adatai – brojlercsirke, pecsenyekacsa, pulyka és lúd fajtákra – felügyel ségi
tapasztalat és irodalmi adatok alapján)
[Forrás: Alsó-Tisza- vidéki KTVF, 2006-2009-es adatok, információk alapján]</t>
        </r>
      </text>
    </comment>
    <comment ref="H3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2.16. táblázat: Magyarországon üzemel  baromfitartó telepek fajlagos adatai – brojlercsirke, pecsenyekacsa, pulyka és lúd fajtákra – felügyel ségi
tapasztalat és irodalmi adatok alapján)
[Forrás: Alsó-Tisza- vidéki KTVF, 2006-2009-es adatok, információk alapján]</t>
        </r>
      </text>
    </comment>
  </commentList>
</comments>
</file>

<file path=xl/sharedStrings.xml><?xml version="1.0" encoding="utf-8"?>
<sst xmlns="http://schemas.openxmlformats.org/spreadsheetml/2006/main" count="483" uniqueCount="239">
  <si>
    <t>Létszám (db)</t>
  </si>
  <si>
    <t>kód</t>
  </si>
  <si>
    <t>IX.1</t>
  </si>
  <si>
    <t>X.1</t>
  </si>
  <si>
    <t>XI.1</t>
  </si>
  <si>
    <t>XII.1</t>
  </si>
  <si>
    <t>I.1</t>
  </si>
  <si>
    <t>II.1</t>
  </si>
  <si>
    <t>III.1</t>
  </si>
  <si>
    <t>IV.1</t>
  </si>
  <si>
    <t>V.1</t>
  </si>
  <si>
    <t>VI.1</t>
  </si>
  <si>
    <t>VII.1</t>
  </si>
  <si>
    <t>VIII.1</t>
  </si>
  <si>
    <t>átlag</t>
  </si>
  <si>
    <t>trágya  t/db/év</t>
  </si>
  <si>
    <t>trágya (t)</t>
  </si>
  <si>
    <t>tartás-mód kód</t>
  </si>
  <si>
    <t>N tart kg/t</t>
  </si>
  <si>
    <t>N tartalom (kg)</t>
  </si>
  <si>
    <t>02</t>
  </si>
  <si>
    <t>08</t>
  </si>
  <si>
    <t>03</t>
  </si>
  <si>
    <t>0-6 hó közti borjú</t>
  </si>
  <si>
    <t>04</t>
  </si>
  <si>
    <t>06</t>
  </si>
  <si>
    <t>05</t>
  </si>
  <si>
    <t>07</t>
  </si>
  <si>
    <t> Koca + alom</t>
  </si>
  <si>
    <t>10</t>
  </si>
  <si>
    <t> Utónevelt malac</t>
  </si>
  <si>
    <t>12</t>
  </si>
  <si>
    <t> Hízó</t>
  </si>
  <si>
    <t>13</t>
  </si>
  <si>
    <t>tenyészsüldő</t>
  </si>
  <si>
    <t>tenyészkan</t>
  </si>
  <si>
    <t>11</t>
  </si>
  <si>
    <t>1000 tojótyúk (ketreces)</t>
  </si>
  <si>
    <t>14</t>
  </si>
  <si>
    <t>01</t>
  </si>
  <si>
    <t>1000 brojler</t>
  </si>
  <si>
    <t>15</t>
  </si>
  <si>
    <t>1000 brojlerpulyka bak</t>
  </si>
  <si>
    <t>16</t>
  </si>
  <si>
    <t>1000 brojlerpulyka tojó</t>
  </si>
  <si>
    <t>1000 liba (pecsenye)</t>
  </si>
  <si>
    <t>17</t>
  </si>
  <si>
    <t>1000 kacsa (pecsenye)</t>
  </si>
  <si>
    <t>18</t>
  </si>
  <si>
    <t>19</t>
  </si>
  <si>
    <t>20</t>
  </si>
  <si>
    <t>21</t>
  </si>
  <si>
    <t>22</t>
  </si>
  <si>
    <t>23</t>
  </si>
  <si>
    <t>egyéb</t>
  </si>
  <si>
    <t>24</t>
  </si>
  <si>
    <t>ha</t>
  </si>
  <si>
    <t xml:space="preserve">t/ha </t>
  </si>
  <si>
    <t>KALKULÁCIÓ I. megadott területre jutó trágyaadag</t>
  </si>
  <si>
    <t>HA A TRÁGYÁZOTT TERÜLET</t>
  </si>
  <si>
    <t xml:space="preserve">ha </t>
  </si>
  <si>
    <t>KIJUTTATANDÓ TRÁGYAADAG</t>
  </si>
  <si>
    <t>t/ha</t>
  </si>
  <si>
    <t>KALKULÁCIÓ II. megadott trágyaadaggal trágyázható terület</t>
  </si>
  <si>
    <t>HA A KIJUTTATOTT TRÁGYAADAG</t>
  </si>
  <si>
    <t>SZÜKSÉGES TERÜLET</t>
  </si>
  <si>
    <t>1. számú melléklet az 59/2008. (IV. 29.) FVM rendelethez15</t>
  </si>
  <si>
    <t>Trágyák átlagos beltartalmi értékei keletkezéskor és kijuttatáskor</t>
  </si>
  <si>
    <t>1.</t>
  </si>
  <si>
    <t>Tápanyagtartalom kijuttatáskor [kg/t]</t>
  </si>
  <si>
    <t>2.</t>
  </si>
  <si>
    <t>Hígtrágya*</t>
  </si>
  <si>
    <t>Istállótrágya N</t>
  </si>
  <si>
    <t>Mélyalom (2)</t>
  </si>
  <si>
    <t>P2O5</t>
  </si>
  <si>
    <t>3.</t>
  </si>
  <si>
    <t>Szarvasmarha</t>
  </si>
  <si>
    <t>Borjú (0-6 hónapig)</t>
  </si>
  <si>
    <t>-</t>
  </si>
  <si>
    <t>Üsző (6-12 hónapig)</t>
  </si>
  <si>
    <t>Üsző (12-24 hónapig)</t>
  </si>
  <si>
    <t>Hízómarha (6-12 hónapig)</t>
  </si>
  <si>
    <t>Hízómarha (12-24 hónapig)</t>
  </si>
  <si>
    <t>Sertés</t>
  </si>
  <si>
    <t>Koca (10 malaccal, 9 kg-ig)</t>
  </si>
  <si>
    <t>Utónevelt malac (8-35 kg-ig)</t>
  </si>
  <si>
    <t>Hízó sertések, fiatal koca</t>
  </si>
  <si>
    <t>Baromfi</t>
  </si>
  <si>
    <t>1000 db brojler</t>
  </si>
  <si>
    <t>Juhok (anyajuh 50 kg + szaporulat)</t>
  </si>
  <si>
    <t>Juhok (anyajuh 70 kg + szaporulat)</t>
  </si>
  <si>
    <t>Kecskék (anyakecske 50 kg + szaporulat)</t>
  </si>
  <si>
    <t>Kecskék (anyakecske 80 kg + szaporulat)</t>
  </si>
  <si>
    <t>Lovak (600 kg)</t>
  </si>
  <si>
    <t>* Talajvédelmi terv alapján meghatározandó kijuttatáskor.</t>
  </si>
  <si>
    <t>** Tojók ketreces tartásánál keletkező trágya hígítatlan (félszilárd) ürülék</t>
  </si>
  <si>
    <t>(1) Bélsár és vizelet keletkezéskor</t>
  </si>
  <si>
    <t>(2) Mélyalmos tartástechnológia során keletkező istállótrágya</t>
  </si>
  <si>
    <t>1.1</t>
  </si>
  <si>
    <t>1.2</t>
  </si>
  <si>
    <t>1.3</t>
  </si>
  <si>
    <t>1.4</t>
  </si>
  <si>
    <t>1.5</t>
  </si>
  <si>
    <t>1.6</t>
  </si>
  <si>
    <t>1.7</t>
  </si>
  <si>
    <t>Hízómarha, anyatehén (&gt; 24 hónap)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</si>
  <si>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</si>
  <si>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</si>
  <si>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</si>
  <si>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</si>
  <si>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</si>
  <si>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</si>
  <si>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</si>
  <si>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</si>
  <si>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</si>
  <si>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</si>
  <si>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</si>
  <si>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</si>
  <si>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A friss trágya (1)N-tartalma [kg/év]</t>
  </si>
  <si>
    <t>Állatfaj, csoport (állatkategória)</t>
  </si>
  <si>
    <t>09</t>
  </si>
  <si>
    <t>fejt tehén (fejőházi hígtrágya)</t>
  </si>
  <si>
    <t>tejelőtehén (hígtrágyás)</t>
  </si>
  <si>
    <t>Kövér hígtrágya</t>
  </si>
  <si>
    <t>Közepes hígtrágya</t>
  </si>
  <si>
    <t>Sovány hígtrágya</t>
  </si>
  <si>
    <t>tejelőtehén (almos)</t>
  </si>
  <si>
    <t>tejelőtehén (mélyalmos, karám)</t>
  </si>
  <si>
    <t>1000 tojótyúk almos</t>
  </si>
  <si>
    <t>1000 db pulyka (14 kg-ig) bak</t>
  </si>
  <si>
    <t>1000 db pulyka (5 kg-ig)tojó</t>
  </si>
  <si>
    <t>Tejelő tehén 650 kg hígtrágyás</t>
  </si>
  <si>
    <t>hígtrágya t</t>
  </si>
  <si>
    <t>almostrágya t</t>
  </si>
  <si>
    <t>t/db/év</t>
  </si>
  <si>
    <t>Tejelő tehén 650 kg almos</t>
  </si>
  <si>
    <t>Tejelő tehén 650 kg mélyalmos</t>
  </si>
  <si>
    <t>1000 db Pecsenyekacsa****</t>
  </si>
  <si>
    <t>1000 db liba****</t>
  </si>
  <si>
    <t>Baromfitartás BAT útmutató ****</t>
  </si>
  <si>
    <t>1000 db tojótyúk ketreces</t>
  </si>
  <si>
    <t>NVT Tanácsadói képzés 2005 ***</t>
  </si>
  <si>
    <t>1000 db tojótyúk almos***</t>
  </si>
  <si>
    <t>anyanyúl db (átlag évi 63 szaporulat)</t>
  </si>
  <si>
    <t>nyúl (ketreces)összes létszám</t>
  </si>
  <si>
    <t>Anyanyúl és szaporulat összes létszáma</t>
  </si>
  <si>
    <t>Anyanyúl létszám a telepen (+ évi 63 db szaporulat hízlalása)*****</t>
  </si>
  <si>
    <t>Sertéstartás BAT útmutató</t>
  </si>
  <si>
    <t>kan</t>
  </si>
  <si>
    <t>Hígtrágya kijuttatása csak talajvédelmi tervben meghatározottak alapján, a kiadott engedély birtokában lehetséges</t>
  </si>
  <si>
    <t>A hígtrágya beltartalmi adatait labóratóriumi vizsgálattal szükséges megalapozni.</t>
  </si>
  <si>
    <r>
      <rPr>
        <b/>
        <u/>
        <sz val="9"/>
        <color theme="1"/>
        <rFont val="Times New Roman"/>
        <family val="1"/>
        <charset val="238"/>
      </rPr>
      <t>KIJUTTATHATÓ TRÁGYAADAG</t>
    </r>
    <r>
      <rPr>
        <sz val="9"/>
        <color theme="1"/>
        <rFont val="Times New Roman"/>
        <family val="1"/>
        <charset val="238"/>
      </rPr>
      <t xml:space="preserve"> MAXIMÁLISAN a talajvédelmi hatósági engedély alapján  </t>
    </r>
  </si>
  <si>
    <t>kg/ha N</t>
  </si>
  <si>
    <t>FELHASZNÁLT HÍGTRÁGYA</t>
  </si>
  <si>
    <t>Hígtrágya elszámolás</t>
  </si>
  <si>
    <t>FONTOS!</t>
  </si>
  <si>
    <t>A telepen belüli almos trágya felhasználását elszámolni az almos (mélyalmos) trágya elszámolási lapon kell.</t>
  </si>
  <si>
    <t>(a zárolt cellák feloldásához a korrektúra lapon, a lapvédelem feloldására kell kattintani)</t>
  </si>
  <si>
    <t>Gazdálkodó neve:</t>
  </si>
  <si>
    <t>Telep megnevezése:</t>
  </si>
  <si>
    <t>Megjegyzés:</t>
  </si>
  <si>
    <r>
      <t>trágya (m</t>
    </r>
    <r>
      <rPr>
        <vertAlign val="superscript"/>
        <sz val="9"/>
        <color theme="1"/>
        <rFont val="Times New Roman"/>
        <family val="1"/>
        <charset val="238"/>
      </rPr>
      <t>3)</t>
    </r>
  </si>
  <si>
    <r>
      <t>A Nitrát adatlap kitöltésénél a hígtrágya mennyiségeket m</t>
    </r>
    <r>
      <rPr>
        <vertAlign val="superscript"/>
        <sz val="9"/>
        <color theme="1"/>
        <rFont val="Times New Roman"/>
        <family val="1"/>
        <charset val="238"/>
      </rPr>
      <t>3</t>
    </r>
    <r>
      <rPr>
        <sz val="9"/>
        <color theme="1"/>
        <rFont val="Times New Roman"/>
        <family val="1"/>
        <charset val="238"/>
      </rPr>
      <t>- ben kell megadni</t>
    </r>
  </si>
  <si>
    <t xml:space="preserve">MINIMÁLISAN SZÜKSÉGES TERÜLET HÍGTÁGYA KIJUTTATÁSA ESETÉN </t>
  </si>
  <si>
    <r>
      <t>m</t>
    </r>
    <r>
      <rPr>
        <vertAlign val="superscript"/>
        <sz val="9"/>
        <color theme="1"/>
        <rFont val="Times New Roman"/>
        <family val="1"/>
        <charset val="238"/>
      </rPr>
      <t>3</t>
    </r>
  </si>
  <si>
    <t>tárolókapacitás:</t>
  </si>
  <si>
    <r>
      <t>MEGLÉVŐ HÍGTRÁGYA TÁROLÓ KAPACITÁSA m</t>
    </r>
    <r>
      <rPr>
        <vertAlign val="superscript"/>
        <sz val="9"/>
        <color theme="1"/>
        <rFont val="Times New Roman"/>
        <family val="1"/>
        <charset val="238"/>
      </rPr>
      <t xml:space="preserve">3 </t>
    </r>
  </si>
  <si>
    <t>Az Helyes Mezőgazdasági Gyakorlat kötelező előírásait kell figyelembe venni (59/2008. (IV. 29.) FVM rendelet)</t>
  </si>
  <si>
    <t>A kalkuláció a szervestrágyára vonatkozóan tájékoztat, a kijuttatott N mennyiségnél a gazdaság egyéb vállalt előírásait (pl. AKG) is figyelembe kell venni, ha ott szigorúbb előírások vannak.</t>
  </si>
  <si>
    <t>hígtrágya (01 tartásmód) összesen</t>
  </si>
  <si>
    <t>anyatehén (mélyalmos)</t>
  </si>
  <si>
    <t>6-12 üsző (mélyalmos)</t>
  </si>
  <si>
    <t>6-12 bika (mélyalmos)</t>
  </si>
  <si>
    <t>12-24 üsző (mélyalmos)</t>
  </si>
  <si>
    <t>12-24 bika (mélyalmos)</t>
  </si>
  <si>
    <t>24 fölött üsző (mélyalmos)</t>
  </si>
  <si>
    <t>24 hó felett bika (mélyalmos)</t>
  </si>
  <si>
    <t>tenyészbika (almos, mélyalmos)</t>
  </si>
  <si>
    <t>szarvasmarha trágya (02)</t>
  </si>
  <si>
    <t>FELHASZNÁLT ISTÁLLÓTRÁGYA</t>
  </si>
  <si>
    <t>t</t>
  </si>
  <si>
    <r>
      <t>m</t>
    </r>
    <r>
      <rPr>
        <vertAlign val="superscript"/>
        <sz val="9"/>
        <color theme="1"/>
        <rFont val="Times New Roman"/>
        <family val="1"/>
        <charset val="238"/>
      </rPr>
      <t>3</t>
    </r>
    <r>
      <rPr>
        <sz val="9"/>
        <color theme="1"/>
        <rFont val="Times New Roman"/>
        <family val="1"/>
        <charset val="238"/>
      </rPr>
      <t>/ha</t>
    </r>
  </si>
  <si>
    <t>kg N/ha</t>
  </si>
  <si>
    <t>MEGLÉVŐ ALMOSRÁGYA TÁROLÓ KAPACITÁSA t</t>
  </si>
  <si>
    <t>Sertés hígtrágya (03) ö</t>
  </si>
  <si>
    <t>egyéb trágya (01) összesen</t>
  </si>
  <si>
    <t xml:space="preserve">MINIMÁLISAN SZÜKSÉGES TERÜLET ÉVENKÉNTI ISTÁLLÓTÁGYÁZÁSNÁL NITRÁTÉRZÉKENY TERÜLETEN </t>
  </si>
  <si>
    <t>naponta legelőn töltött órák</t>
  </si>
  <si>
    <t>ebből legelő tehenek száma</t>
  </si>
  <si>
    <t>tejelőtehén almozott technológia</t>
  </si>
  <si>
    <t>ebből legeltetett</t>
  </si>
  <si>
    <t>Éves legelőterületszükséglet idényszerű legeltetésnél (170 kg/ha N hatóanyag max.)</t>
  </si>
  <si>
    <t>Éves legelőterületszükséglet egész éveslegeltetésnél (120 kg/ha N hatóanyag max.)</t>
  </si>
  <si>
    <t>A legeltetésnél szükség lehet a területenkénti N terhelés miatti felülvizsgálatra</t>
  </si>
  <si>
    <t>A kalkuláció a szervestrágyára vonatkozóan tájékoztat, a kijuttatott N mennyiségnél a trágyázott kultúra igényét, a maximális kijuttatható N hatóanyag korlátot is figyelembe kell venni, ha kisebb.</t>
  </si>
  <si>
    <r>
      <t>m</t>
    </r>
    <r>
      <rPr>
        <vertAlign val="superscript"/>
        <sz val="8"/>
        <color theme="1"/>
        <rFont val="Times New Roman"/>
        <family val="1"/>
        <charset val="238"/>
      </rPr>
      <t>3</t>
    </r>
  </si>
  <si>
    <r>
      <t>MEGLÉVŐ HÍGTRÁGYA TÁROLÓ KAPACITÁSA m</t>
    </r>
    <r>
      <rPr>
        <vertAlign val="superscript"/>
        <sz val="8"/>
        <color theme="1"/>
        <rFont val="Times New Roman"/>
        <family val="1"/>
        <charset val="238"/>
      </rPr>
      <t xml:space="preserve">3 </t>
    </r>
  </si>
  <si>
    <r>
      <rPr>
        <b/>
        <u/>
        <sz val="8"/>
        <color theme="1"/>
        <rFont val="Times New Roman"/>
        <family val="1"/>
        <charset val="238"/>
      </rPr>
      <t>KIJUTTATHATÓ ISTÁLLÓTRÁGYA ADAG</t>
    </r>
    <r>
      <rPr>
        <sz val="8"/>
        <color theme="1"/>
        <rFont val="Times New Roman"/>
        <family val="1"/>
        <charset val="238"/>
      </rPr>
      <t xml:space="preserve"> MAX 170 kg/ha N hatóanyag kijuttatásával</t>
    </r>
  </si>
  <si>
    <r>
      <t>m</t>
    </r>
    <r>
      <rPr>
        <vertAlign val="superscript"/>
        <sz val="8"/>
        <color theme="1"/>
        <rFont val="Times New Roman"/>
        <family val="1"/>
        <charset val="238"/>
      </rPr>
      <t>3</t>
    </r>
    <r>
      <rPr>
        <sz val="8"/>
        <color theme="1"/>
        <rFont val="Times New Roman"/>
        <family val="1"/>
        <charset val="238"/>
      </rPr>
      <t>/ha</t>
    </r>
  </si>
  <si>
    <t>anyatehén</t>
  </si>
  <si>
    <t>szarvasmarha növendékek,és tenyészbika</t>
  </si>
  <si>
    <t>sertés</t>
  </si>
  <si>
    <t>baromfi</t>
  </si>
  <si>
    <t>juh és kecske</t>
  </si>
  <si>
    <t>ló</t>
  </si>
  <si>
    <t>trágya mennyiség</t>
  </si>
  <si>
    <t>nitrogéntartalom</t>
  </si>
  <si>
    <t>ebből legelőn</t>
  </si>
  <si>
    <t>legeltetésnél (04+05 tartásmód) figyelembe vett trágya N tartalma</t>
  </si>
  <si>
    <t>tenyészsüldő almozott</t>
  </si>
  <si>
    <t>tenyészsüldő mélyalmos</t>
  </si>
  <si>
    <t>ebből legelő anyatehenek száma</t>
  </si>
  <si>
    <t>istállótrágya (02+03+06 tartásmód) összesen</t>
  </si>
  <si>
    <t>utónevelt malac</t>
  </si>
  <si>
    <t>hízó almozott</t>
  </si>
  <si>
    <t>koca + alom</t>
  </si>
  <si>
    <t>hízó mélyalmos</t>
  </si>
  <si>
    <t>sertés trágya (03) összesen</t>
  </si>
  <si>
    <t>baromfi tágya (04) összesen</t>
  </si>
  <si>
    <t>juh (vegyes kcs) kistestű</t>
  </si>
  <si>
    <t>juh (vegyes kcs) nagytestű</t>
  </si>
  <si>
    <t>kecske (vegyes kcs) kistestű</t>
  </si>
  <si>
    <t>kecske (vegyes kcs) nagytestű</t>
  </si>
  <si>
    <t>juh- és kecske trágya (05) összesen</t>
  </si>
  <si>
    <t>lótrágya (06) összesen</t>
  </si>
  <si>
    <t>kg/t N</t>
  </si>
  <si>
    <t>A szervestrágyára vonatkozóan tájékoztatás, a kijuttatott N mennyiségnél a trágyázott kultúra tápanyagigényét, és maximálisan kijuttatható N hatóanyag korlátot is figyelembe kell venni, ha az kisebb.</t>
  </si>
  <si>
    <t>XII.31</t>
  </si>
  <si>
    <r>
      <t xml:space="preserve">MINIMÁLISAN SZÜKSÉGES TERÜLET </t>
    </r>
    <r>
      <rPr>
        <b/>
        <u/>
        <sz val="8"/>
        <color theme="1"/>
        <rFont val="Times New Roman"/>
        <family val="1"/>
        <charset val="238"/>
      </rPr>
      <t>HÍGTÁGYA</t>
    </r>
    <r>
      <rPr>
        <sz val="8"/>
        <color theme="1"/>
        <rFont val="Times New Roman"/>
        <family val="1"/>
        <charset val="238"/>
      </rPr>
      <t xml:space="preserve"> KIJUTTATÁSA ESETÉN </t>
    </r>
  </si>
  <si>
    <r>
      <rPr>
        <b/>
        <u/>
        <sz val="8"/>
        <color theme="1"/>
        <rFont val="Times New Roman"/>
        <family val="1"/>
        <charset val="238"/>
      </rPr>
      <t>KIJUTTATHATÓ HÍGTRÁGYAADAG</t>
    </r>
    <r>
      <rPr>
        <sz val="8"/>
        <color theme="1"/>
        <rFont val="Times New Roman"/>
        <family val="1"/>
        <charset val="238"/>
      </rPr>
      <t xml:space="preserve"> MAXIMÁLISAN a talajvédelmi hatósági engedély alapján  </t>
    </r>
  </si>
  <si>
    <t>készleten 2019.12.31.</t>
  </si>
  <si>
    <t>készleten 2019.01.01.</t>
  </si>
  <si>
    <t>Tájékoztató adat, számolandó a telepi  technológia alapján *****</t>
  </si>
  <si>
    <t>Trágyaelszámolás a  2024. gazdálkodási évben</t>
  </si>
  <si>
    <t>Trágyaelszámolás hígtrágyás tartásmód esetén 2024. évben</t>
  </si>
  <si>
    <t>istállótrágyakészleten 2024.01.01.</t>
  </si>
  <si>
    <t>istállótrágya készleten2024.12.31.</t>
  </si>
  <si>
    <t>hígtrágya készleten 2024.01.01.</t>
  </si>
  <si>
    <t>hígtrágya készleten2024.12.31.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</si>
</sst>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####\x\ &quot; e&quot;"/>
    <numFmt numFmtId="166" formatCode="#,##0_ ;\-#,##0\ "/>
    <numFmt numFmtId="167" formatCode="0.000"/>
    <numFmt numFmtId="168" formatCode="#,##0.00_ ;\-#,##0.00\ "/>
    <numFmt numFmtId="169" formatCode="#####.000\x\ &quot; e&quot;"/>
  </numFmts>
  <fonts count="2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sz val="9"/>
      <color rgb="FFC00000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u/>
      <sz val="10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rgb="FF92D050"/>
      <name val="Times New Roman"/>
      <family val="1"/>
      <charset val="238"/>
    </font>
    <font>
      <b/>
      <u/>
      <sz val="8"/>
      <color rgb="FFC00000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b/>
      <sz val="8"/>
      <color rgb="FFC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double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medium">
        <color indexed="64"/>
      </right>
      <top/>
      <bottom style="double">
        <color theme="6" tint="-0.499984740745262"/>
      </bottom>
      <diagonal/>
    </border>
    <border>
      <left style="medium">
        <color indexed="64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medium">
        <color indexed="64"/>
      </right>
      <top/>
      <bottom style="double">
        <color theme="9" tint="-0.499984740745262"/>
      </bottom>
      <diagonal/>
    </border>
    <border>
      <left style="medium">
        <color indexed="64"/>
      </left>
      <right/>
      <top/>
      <bottom style="double">
        <color theme="9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medium">
        <color indexed="64"/>
      </top>
      <bottom style="double">
        <color theme="9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medium">
        <color indexed="64"/>
      </right>
      <top style="double">
        <color theme="9" tint="-0.499984740745262"/>
      </top>
      <bottom/>
      <diagonal/>
    </border>
    <border>
      <left style="medium">
        <color indexed="64"/>
      </left>
      <right/>
      <top style="double">
        <color theme="9" tint="-0.499984740745262"/>
      </top>
      <bottom/>
      <diagonal/>
    </border>
    <border>
      <left style="thick">
        <color theme="6" tint="-0.499984740745262"/>
      </left>
      <right style="double">
        <color theme="6" tint="-0.499984740745262"/>
      </right>
      <top style="double">
        <color theme="9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9" tint="-0.499984740745262"/>
      </top>
      <bottom style="double">
        <color theme="6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theme="9" tint="-0.499984740745262"/>
      </top>
      <bottom/>
      <diagonal/>
    </border>
    <border>
      <left style="thick">
        <color theme="6" tint="-0.499984740745262"/>
      </left>
      <right style="medium">
        <color indexed="64"/>
      </right>
      <top style="double">
        <color theme="9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6" tint="-0.499984740745262"/>
      </left>
      <right style="medium">
        <color indexed="64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 style="double">
        <color theme="9" tint="-0.499984740745262"/>
      </bottom>
      <diagonal/>
    </border>
    <border>
      <left style="thick">
        <color theme="6" tint="-0.499984740745262"/>
      </left>
      <right style="medium">
        <color indexed="64"/>
      </right>
      <top style="double">
        <color theme="6" tint="-0.499984740745262"/>
      </top>
      <bottom style="double">
        <color theme="9" tint="-0.499984740745262"/>
      </bottom>
      <diagonal/>
    </border>
    <border>
      <left style="thick">
        <color theme="6" tint="-0.499984740745262"/>
      </left>
      <right style="medium">
        <color indexed="64"/>
      </right>
      <top/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 style="double">
        <color theme="6" tint="-0.499984740745262"/>
      </bottom>
      <diagonal/>
    </border>
    <border>
      <left style="medium">
        <color indexed="64"/>
      </left>
      <right/>
      <top style="double">
        <color theme="6" tint="-0.499984740745262"/>
      </top>
      <bottom style="medium">
        <color indexed="64"/>
      </bottom>
      <diagonal/>
    </border>
    <border>
      <left/>
      <right/>
      <top style="double">
        <color theme="6" tint="-0.499984740745262"/>
      </top>
      <bottom style="medium">
        <color indexed="64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medium">
        <color indexed="64"/>
      </bottom>
      <diagonal/>
    </border>
    <border>
      <left/>
      <right/>
      <top style="thick">
        <color theme="6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 style="thin">
        <color indexed="64"/>
      </top>
      <bottom style="double">
        <color rgb="FFC00000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medium">
        <color indexed="64"/>
      </bottom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double">
        <color theme="6" tint="-0.499984740745262"/>
      </top>
      <bottom/>
      <diagonal/>
    </border>
    <border>
      <left style="thick">
        <color theme="6" tint="-0.499984740745262"/>
      </left>
      <right/>
      <top style="medium">
        <color theme="6" tint="-0.499984740745262"/>
      </top>
      <bottom/>
      <diagonal/>
    </border>
    <border>
      <left/>
      <right style="thick">
        <color theme="6" tint="-0.499984740745262"/>
      </right>
      <top style="medium">
        <color theme="6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medium">
        <color indexed="64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medium">
        <color indexed="64"/>
      </right>
      <top style="thick">
        <color theme="6" tint="-0.499984740745262"/>
      </top>
      <bottom style="double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medium">
        <color indexed="64"/>
      </bottom>
      <diagonal/>
    </border>
    <border>
      <left style="thick">
        <color theme="6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medium">
        <color indexed="64"/>
      </right>
      <top style="thick">
        <color theme="6" tint="-0.499984740745262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 style="medium">
        <color theme="6" tint="-0.499984740745262"/>
      </bottom>
      <diagonal/>
    </border>
    <border>
      <left/>
      <right/>
      <top style="double">
        <color theme="6" tint="-0.499984740745262"/>
      </top>
      <bottom style="medium">
        <color theme="6" tint="-0.499984740745262"/>
      </bottom>
      <diagonal/>
    </border>
    <border>
      <left/>
      <right style="thick">
        <color theme="6" tint="-0.499984740745262"/>
      </right>
      <top style="double">
        <color theme="6" tint="-0.499984740745262"/>
      </top>
      <bottom style="medium">
        <color theme="6" tint="-0.499984740745262"/>
      </bottom>
      <diagonal/>
    </border>
    <border>
      <left style="double">
        <color rgb="FFC00000"/>
      </left>
      <right style="double">
        <color rgb="FFC00000"/>
      </right>
      <top style="medium">
        <color indexed="64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419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5" fillId="0" borderId="0" xfId="1" applyAlignment="1" applyProtection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2" fontId="0" fillId="0" borderId="0" xfId="0" applyNumberFormat="1"/>
    <xf numFmtId="49" fontId="5" fillId="0" borderId="0" xfId="1" applyNumberFormat="1" applyAlignment="1" applyProtection="1"/>
    <xf numFmtId="2" fontId="2" fillId="0" borderId="0" xfId="0" applyNumberFormat="1" applyFont="1" applyAlignment="1">
      <alignment horizontal="center"/>
    </xf>
    <xf numFmtId="2" fontId="5" fillId="0" borderId="0" xfId="1" applyNumberFormat="1" applyAlignment="1" applyProtection="1"/>
    <xf numFmtId="0" fontId="8" fillId="0" borderId="0" xfId="0" applyFont="1"/>
    <xf numFmtId="49" fontId="8" fillId="2" borderId="3" xfId="0" applyNumberFormat="1" applyFont="1" applyFill="1" applyBorder="1" applyAlignment="1">
      <alignment horizontal="centerContinuous" vertical="center"/>
    </xf>
    <xf numFmtId="49" fontId="8" fillId="2" borderId="2" xfId="0" applyNumberFormat="1" applyFont="1" applyFill="1" applyBorder="1" applyAlignment="1">
      <alignment horizontal="centerContinuous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/>
    </xf>
    <xf numFmtId="4" fontId="8" fillId="5" borderId="0" xfId="0" applyNumberFormat="1" applyFont="1" applyFill="1" applyAlignment="1">
      <alignment horizontal="right" vertical="center"/>
    </xf>
    <xf numFmtId="4" fontId="8" fillId="5" borderId="0" xfId="0" applyNumberFormat="1" applyFont="1" applyFill="1" applyAlignment="1">
      <alignment horizontal="right" vertical="center" wrapText="1"/>
    </xf>
    <xf numFmtId="4" fontId="8" fillId="4" borderId="14" xfId="0" applyNumberFormat="1" applyFont="1" applyFill="1" applyBorder="1" applyAlignment="1">
      <alignment horizontal="right" vertical="center"/>
    </xf>
    <xf numFmtId="49" fontId="8" fillId="2" borderId="24" xfId="0" applyNumberFormat="1" applyFont="1" applyFill="1" applyBorder="1" applyAlignment="1">
      <alignment horizontal="left" vertical="center"/>
    </xf>
    <xf numFmtId="49" fontId="8" fillId="2" borderId="23" xfId="0" applyNumberFormat="1" applyFont="1" applyFill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right" vertical="center"/>
    </xf>
    <xf numFmtId="4" fontId="8" fillId="4" borderId="26" xfId="0" applyNumberFormat="1" applyFont="1" applyFill="1" applyBorder="1" applyAlignment="1">
      <alignment horizontal="right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center" vertical="center"/>
    </xf>
    <xf numFmtId="4" fontId="8" fillId="5" borderId="32" xfId="0" applyNumberFormat="1" applyFont="1" applyFill="1" applyBorder="1" applyAlignment="1">
      <alignment horizontal="right" vertical="center"/>
    </xf>
    <xf numFmtId="49" fontId="11" fillId="2" borderId="32" xfId="0" applyNumberFormat="1" applyFont="1" applyFill="1" applyBorder="1" applyAlignment="1">
      <alignment horizontal="center" vertical="center"/>
    </xf>
    <xf numFmtId="4" fontId="8" fillId="4" borderId="31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right" vertical="center"/>
    </xf>
    <xf numFmtId="49" fontId="8" fillId="6" borderId="12" xfId="0" applyNumberFormat="1" applyFont="1" applyFill="1" applyBorder="1" applyAlignment="1">
      <alignment horizontal="left" vertical="center"/>
    </xf>
    <xf numFmtId="49" fontId="8" fillId="6" borderId="13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right" vertical="center"/>
    </xf>
    <xf numFmtId="4" fontId="8" fillId="6" borderId="13" xfId="0" applyNumberFormat="1" applyFont="1" applyFill="1" applyBorder="1" applyAlignment="1">
      <alignment horizontal="right" vertical="center"/>
    </xf>
    <xf numFmtId="49" fontId="8" fillId="7" borderId="12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right" vertical="center"/>
    </xf>
    <xf numFmtId="4" fontId="8" fillId="7" borderId="0" xfId="0" applyNumberFormat="1" applyFont="1" applyFill="1" applyAlignment="1">
      <alignment horizontal="right" vertical="center"/>
    </xf>
    <xf numFmtId="2" fontId="8" fillId="7" borderId="0" xfId="0" applyNumberFormat="1" applyFont="1" applyFill="1" applyAlignment="1">
      <alignment horizontal="center" vertical="center"/>
    </xf>
    <xf numFmtId="4" fontId="8" fillId="7" borderId="13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" fontId="8" fillId="6" borderId="0" xfId="0" applyNumberFormat="1" applyFont="1" applyFill="1" applyAlignment="1">
      <alignment horizontal="right" vertical="center"/>
    </xf>
    <xf numFmtId="166" fontId="8" fillId="2" borderId="2" xfId="2" applyNumberFormat="1" applyFont="1" applyFill="1" applyBorder="1" applyAlignment="1">
      <alignment horizontal="centerContinuous" vertical="center"/>
    </xf>
    <xf numFmtId="166" fontId="8" fillId="2" borderId="4" xfId="2" applyNumberFormat="1" applyFont="1" applyFill="1" applyBorder="1" applyAlignment="1">
      <alignment horizontal="centerContinuous" vertical="center"/>
    </xf>
    <xf numFmtId="166" fontId="10" fillId="3" borderId="18" xfId="2" applyNumberFormat="1" applyFont="1" applyFill="1" applyBorder="1" applyAlignment="1" applyProtection="1">
      <alignment horizontal="center" vertical="center"/>
      <protection locked="0"/>
    </xf>
    <xf numFmtId="166" fontId="10" fillId="3" borderId="19" xfId="2" applyNumberFormat="1" applyFont="1" applyFill="1" applyBorder="1" applyAlignment="1" applyProtection="1">
      <alignment horizontal="center" vertical="center"/>
      <protection locked="0"/>
    </xf>
    <xf numFmtId="166" fontId="8" fillId="7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left" vertical="center"/>
    </xf>
    <xf numFmtId="166" fontId="8" fillId="2" borderId="6" xfId="2" applyNumberFormat="1" applyFont="1" applyFill="1" applyBorder="1" applyAlignment="1">
      <alignment horizontal="center" vertical="center"/>
    </xf>
    <xf numFmtId="166" fontId="8" fillId="2" borderId="6" xfId="2" applyNumberFormat="1" applyFont="1" applyFill="1" applyBorder="1" applyAlignment="1">
      <alignment horizontal="left" vertical="center"/>
    </xf>
    <xf numFmtId="166" fontId="8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12" fillId="4" borderId="0" xfId="0" applyNumberFormat="1" applyFont="1" applyFill="1" applyAlignment="1">
      <alignment horizontal="right" vertical="center"/>
    </xf>
    <xf numFmtId="49" fontId="8" fillId="2" borderId="21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center" vertical="center"/>
    </xf>
    <xf numFmtId="4" fontId="8" fillId="5" borderId="22" xfId="0" applyNumberFormat="1" applyFont="1" applyFill="1" applyBorder="1" applyAlignment="1">
      <alignment horizontal="right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" fontId="8" fillId="4" borderId="34" xfId="0" applyNumberFormat="1" applyFont="1" applyFill="1" applyBorder="1" applyAlignment="1">
      <alignment horizontal="right" vertical="center"/>
    </xf>
    <xf numFmtId="4" fontId="8" fillId="4" borderId="36" xfId="0" applyNumberFormat="1" applyFont="1" applyFill="1" applyBorder="1" applyAlignment="1">
      <alignment horizontal="right" vertical="center"/>
    </xf>
    <xf numFmtId="4" fontId="8" fillId="4" borderId="38" xfId="0" applyNumberFormat="1" applyFont="1" applyFill="1" applyBorder="1" applyAlignment="1">
      <alignment horizontal="right" vertical="center"/>
    </xf>
    <xf numFmtId="4" fontId="8" fillId="4" borderId="39" xfId="0" applyNumberFormat="1" applyFont="1" applyFill="1" applyBorder="1" applyAlignment="1">
      <alignment horizontal="right" vertical="center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/>
    </xf>
    <xf numFmtId="0" fontId="10" fillId="3" borderId="0" xfId="0" applyFont="1" applyFill="1" applyAlignment="1" applyProtection="1">
      <alignment horizontal="center" vertical="center"/>
      <protection locked="0"/>
    </xf>
    <xf numFmtId="49" fontId="8" fillId="2" borderId="37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6" fontId="13" fillId="9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6" fontId="8" fillId="4" borderId="31" xfId="2" applyNumberFormat="1" applyFont="1" applyFill="1" applyBorder="1" applyAlignment="1">
      <alignment horizontal="right" vertical="center"/>
    </xf>
    <xf numFmtId="166" fontId="8" fillId="4" borderId="14" xfId="2" applyNumberFormat="1" applyFont="1" applyFill="1" applyBorder="1" applyAlignment="1">
      <alignment horizontal="right" vertical="center"/>
    </xf>
    <xf numFmtId="166" fontId="8" fillId="4" borderId="26" xfId="2" applyNumberFormat="1" applyFont="1" applyFill="1" applyBorder="1" applyAlignment="1">
      <alignment horizontal="right" vertical="center"/>
    </xf>
    <xf numFmtId="166" fontId="10" fillId="3" borderId="17" xfId="2" applyNumberFormat="1" applyFont="1" applyFill="1" applyBorder="1" applyAlignment="1" applyProtection="1">
      <alignment horizontal="center" vertical="center"/>
      <protection locked="0"/>
    </xf>
    <xf numFmtId="166" fontId="8" fillId="4" borderId="11" xfId="2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3" fillId="9" borderId="0" xfId="2" applyNumberFormat="1" applyFont="1" applyFill="1" applyBorder="1" applyAlignment="1" applyProtection="1">
      <alignment horizontal="center" vertical="center"/>
      <protection locked="0"/>
    </xf>
    <xf numFmtId="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4" fontId="8" fillId="4" borderId="45" xfId="0" applyNumberFormat="1" applyFont="1" applyFill="1" applyBorder="1" applyAlignment="1">
      <alignment horizontal="right" vertical="center" shrinkToFit="1"/>
    </xf>
    <xf numFmtId="49" fontId="8" fillId="2" borderId="46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2" fontId="10" fillId="2" borderId="44" xfId="0" applyNumberFormat="1" applyFont="1" applyFill="1" applyBorder="1" applyAlignment="1">
      <alignment horizontal="center" vertical="center"/>
    </xf>
    <xf numFmtId="2" fontId="8" fillId="2" borderId="46" xfId="0" applyNumberFormat="1" applyFont="1" applyFill="1" applyBorder="1" applyAlignment="1">
      <alignment horizontal="center" vertical="center"/>
    </xf>
    <xf numFmtId="2" fontId="10" fillId="2" borderId="46" xfId="0" applyNumberFormat="1" applyFont="1" applyFill="1" applyBorder="1" applyAlignment="1">
      <alignment horizontal="center" vertical="center"/>
    </xf>
    <xf numFmtId="4" fontId="8" fillId="2" borderId="49" xfId="0" applyNumberFormat="1" applyFont="1" applyFill="1" applyBorder="1" applyAlignment="1">
      <alignment horizontal="right" vertical="center" shrinkToFit="1"/>
    </xf>
    <xf numFmtId="4" fontId="8" fillId="4" borderId="47" xfId="0" applyNumberFormat="1" applyFont="1" applyFill="1" applyBorder="1" applyAlignment="1">
      <alignment horizontal="right" vertical="center"/>
    </xf>
    <xf numFmtId="167" fontId="8" fillId="0" borderId="0" xfId="0" applyNumberFormat="1" applyFont="1" applyAlignment="1" applyProtection="1">
      <alignment horizontal="left" vertical="center"/>
      <protection locked="0"/>
    </xf>
    <xf numFmtId="49" fontId="8" fillId="2" borderId="50" xfId="0" applyNumberFormat="1" applyFont="1" applyFill="1" applyBorder="1" applyAlignment="1">
      <alignment horizontal="left" vertical="center"/>
    </xf>
    <xf numFmtId="49" fontId="8" fillId="2" borderId="51" xfId="0" applyNumberFormat="1" applyFont="1" applyFill="1" applyBorder="1" applyAlignment="1">
      <alignment horizontal="center" vertical="center"/>
    </xf>
    <xf numFmtId="49" fontId="8" fillId="2" borderId="51" xfId="0" applyNumberFormat="1" applyFont="1" applyFill="1" applyBorder="1" applyAlignment="1">
      <alignment horizontal="left" vertical="center"/>
    </xf>
    <xf numFmtId="166" fontId="8" fillId="2" borderId="51" xfId="2" applyNumberFormat="1" applyFont="1" applyFill="1" applyBorder="1" applyAlignment="1">
      <alignment horizontal="center" vertical="center"/>
    </xf>
    <xf numFmtId="166" fontId="8" fillId="2" borderId="51" xfId="2" applyNumberFormat="1" applyFont="1" applyFill="1" applyBorder="1" applyAlignment="1">
      <alignment horizontal="left" vertical="center"/>
    </xf>
    <xf numFmtId="4" fontId="8" fillId="2" borderId="51" xfId="0" applyNumberFormat="1" applyFont="1" applyFill="1" applyBorder="1" applyAlignment="1">
      <alignment horizontal="right" vertical="center"/>
    </xf>
    <xf numFmtId="0" fontId="8" fillId="2" borderId="51" xfId="0" applyFont="1" applyFill="1" applyBorder="1" applyAlignment="1">
      <alignment horizontal="right" vertical="center"/>
    </xf>
    <xf numFmtId="4" fontId="8" fillId="2" borderId="53" xfId="0" applyNumberFormat="1" applyFont="1" applyFill="1" applyBorder="1" applyAlignment="1">
      <alignment horizontal="right" vertical="center"/>
    </xf>
    <xf numFmtId="0" fontId="8" fillId="2" borderId="51" xfId="0" applyFont="1" applyFill="1" applyBorder="1" applyAlignment="1">
      <alignment vertical="center"/>
    </xf>
    <xf numFmtId="4" fontId="8" fillId="4" borderId="48" xfId="0" applyNumberFormat="1" applyFont="1" applyFill="1" applyBorder="1" applyAlignment="1">
      <alignment horizontal="right" vertical="center"/>
    </xf>
    <xf numFmtId="49" fontId="8" fillId="2" borderId="55" xfId="0" applyNumberFormat="1" applyFont="1" applyFill="1" applyBorder="1" applyAlignment="1">
      <alignment horizontal="left" vertical="center"/>
    </xf>
    <xf numFmtId="4" fontId="8" fillId="4" borderId="45" xfId="0" applyNumberFormat="1" applyFont="1" applyFill="1" applyBorder="1" applyAlignment="1">
      <alignment horizontal="right" vertical="center"/>
    </xf>
    <xf numFmtId="49" fontId="8" fillId="2" borderId="46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49" fontId="8" fillId="2" borderId="53" xfId="0" applyNumberFormat="1" applyFont="1" applyFill="1" applyBorder="1" applyAlignment="1">
      <alignment vertical="center"/>
    </xf>
    <xf numFmtId="4" fontId="10" fillId="4" borderId="56" xfId="0" applyNumberFormat="1" applyFont="1" applyFill="1" applyBorder="1" applyAlignment="1">
      <alignment horizontal="right" vertical="center"/>
    </xf>
    <xf numFmtId="4" fontId="8" fillId="4" borderId="56" xfId="0" applyNumberFormat="1" applyFont="1" applyFill="1" applyBorder="1" applyAlignment="1">
      <alignment horizontal="right" vertical="center"/>
    </xf>
    <xf numFmtId="4" fontId="8" fillId="4" borderId="48" xfId="0" applyNumberFormat="1" applyFont="1" applyFill="1" applyBorder="1" applyAlignment="1">
      <alignment horizontal="right" vertical="center" shrinkToFit="1"/>
    </xf>
    <xf numFmtId="2" fontId="8" fillId="2" borderId="55" xfId="0" applyNumberFormat="1" applyFont="1" applyFill="1" applyBorder="1" applyAlignment="1">
      <alignment horizontal="center" vertical="center"/>
    </xf>
    <xf numFmtId="168" fontId="17" fillId="3" borderId="52" xfId="2" applyNumberFormat="1" applyFont="1" applyFill="1" applyBorder="1" applyAlignment="1" applyProtection="1">
      <alignment horizontal="right" vertical="center"/>
      <protection locked="0"/>
    </xf>
    <xf numFmtId="166" fontId="16" fillId="3" borderId="54" xfId="2" applyNumberFormat="1" applyFont="1" applyFill="1" applyBorder="1" applyAlignment="1" applyProtection="1">
      <alignment horizontal="right" vertical="center"/>
      <protection locked="0"/>
    </xf>
    <xf numFmtId="166" fontId="13" fillId="3" borderId="52" xfId="2" applyNumberFormat="1" applyFont="1" applyFill="1" applyBorder="1" applyAlignment="1" applyProtection="1">
      <alignment horizontal="right" vertical="center"/>
      <protection locked="0"/>
    </xf>
    <xf numFmtId="0" fontId="18" fillId="8" borderId="9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69" xfId="0" applyFont="1" applyFill="1" applyBorder="1" applyAlignment="1" applyProtection="1">
      <alignment horizontal="center" vertical="center"/>
      <protection locked="0"/>
    </xf>
    <xf numFmtId="4" fontId="19" fillId="4" borderId="45" xfId="0" applyNumberFormat="1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14" borderId="3" xfId="0" applyNumberFormat="1" applyFont="1" applyFill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9" fillId="10" borderId="12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/>
    </xf>
    <xf numFmtId="49" fontId="19" fillId="2" borderId="12" xfId="0" applyNumberFormat="1" applyFont="1" applyFill="1" applyBorder="1" applyAlignment="1">
      <alignment horizontal="left" vertical="center"/>
    </xf>
    <xf numFmtId="49" fontId="19" fillId="14" borderId="12" xfId="0" applyNumberFormat="1" applyFont="1" applyFill="1" applyBorder="1" applyAlignment="1">
      <alignment horizontal="left" vertical="center"/>
    </xf>
    <xf numFmtId="4" fontId="19" fillId="5" borderId="0" xfId="0" applyNumberFormat="1" applyFont="1" applyFill="1" applyAlignment="1">
      <alignment horizontal="right" vertical="center"/>
    </xf>
    <xf numFmtId="49" fontId="19" fillId="6" borderId="7" xfId="0" applyNumberFormat="1" applyFont="1" applyFill="1" applyBorder="1" applyAlignment="1">
      <alignment horizontal="left" vertical="center"/>
    </xf>
    <xf numFmtId="49" fontId="19" fillId="2" borderId="68" xfId="0" applyNumberFormat="1" applyFont="1" applyFill="1" applyBorder="1" applyAlignment="1">
      <alignment horizontal="center" vertical="center"/>
    </xf>
    <xf numFmtId="4" fontId="19" fillId="5" borderId="6" xfId="0" applyNumberFormat="1" applyFont="1" applyFill="1" applyBorder="1" applyAlignment="1">
      <alignment horizontal="right" vertical="center"/>
    </xf>
    <xf numFmtId="49" fontId="19" fillId="6" borderId="72" xfId="0" applyNumberFormat="1" applyFont="1" applyFill="1" applyBorder="1" applyAlignment="1">
      <alignment horizontal="left" vertical="center"/>
    </xf>
    <xf numFmtId="4" fontId="19" fillId="5" borderId="74" xfId="0" applyNumberFormat="1" applyFont="1" applyFill="1" applyBorder="1" applyAlignment="1">
      <alignment horizontal="right" vertical="center"/>
    </xf>
    <xf numFmtId="49" fontId="19" fillId="2" borderId="13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left" vertical="center"/>
    </xf>
    <xf numFmtId="4" fontId="22" fillId="5" borderId="0" xfId="0" applyNumberFormat="1" applyFont="1" applyFill="1" applyAlignment="1">
      <alignment horizontal="right" vertical="center"/>
    </xf>
    <xf numFmtId="4" fontId="19" fillId="5" borderId="0" xfId="0" applyNumberFormat="1" applyFont="1" applyFill="1" applyAlignment="1">
      <alignment horizontal="right" vertical="center" wrapText="1"/>
    </xf>
    <xf numFmtId="49" fontId="19" fillId="2" borderId="0" xfId="0" applyNumberFormat="1" applyFont="1" applyFill="1" applyAlignment="1">
      <alignment horizontal="center" vertical="center"/>
    </xf>
    <xf numFmtId="49" fontId="19" fillId="6" borderId="13" xfId="0" applyNumberFormat="1" applyFont="1" applyFill="1" applyBorder="1" applyAlignment="1">
      <alignment horizontal="center" vertical="center"/>
    </xf>
    <xf numFmtId="49" fontId="19" fillId="6" borderId="41" xfId="0" applyNumberFormat="1" applyFont="1" applyFill="1" applyBorder="1" applyAlignment="1">
      <alignment horizontal="center" vertical="center"/>
    </xf>
    <xf numFmtId="49" fontId="19" fillId="6" borderId="42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right" vertical="center" wrapText="1"/>
    </xf>
    <xf numFmtId="49" fontId="19" fillId="6" borderId="0" xfId="0" applyNumberFormat="1" applyFont="1" applyFill="1" applyAlignment="1">
      <alignment horizontal="center" vertical="center"/>
    </xf>
    <xf numFmtId="49" fontId="19" fillId="6" borderId="12" xfId="0" applyNumberFormat="1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horizontal="left" vertical="center"/>
    </xf>
    <xf numFmtId="4" fontId="21" fillId="6" borderId="0" xfId="0" applyNumberFormat="1" applyFont="1" applyFill="1" applyAlignment="1" applyProtection="1">
      <alignment horizontal="right" vertical="center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" fontId="21" fillId="5" borderId="0" xfId="0" applyNumberFormat="1" applyFont="1" applyFill="1" applyAlignment="1" applyProtection="1">
      <alignment horizontal="right" vertical="center"/>
      <protection locked="0"/>
    </xf>
    <xf numFmtId="4" fontId="19" fillId="6" borderId="0" xfId="0" applyNumberFormat="1" applyFont="1" applyFill="1" applyAlignment="1">
      <alignment horizontal="right" vertical="center"/>
    </xf>
    <xf numFmtId="49" fontId="21" fillId="6" borderId="12" xfId="0" applyNumberFormat="1" applyFont="1" applyFill="1" applyBorder="1" applyAlignment="1">
      <alignment horizontal="left" vertical="center"/>
    </xf>
    <xf numFmtId="49" fontId="21" fillId="6" borderId="13" xfId="0" applyNumberFormat="1" applyFont="1" applyFill="1" applyBorder="1" applyAlignment="1">
      <alignment horizontal="center" vertical="center" wrapText="1"/>
    </xf>
    <xf numFmtId="4" fontId="21" fillId="12" borderId="0" xfId="0" applyNumberFormat="1" applyFont="1" applyFill="1" applyAlignment="1" applyProtection="1">
      <alignment horizontal="right" vertical="center"/>
      <protection locked="0"/>
    </xf>
    <xf numFmtId="49" fontId="19" fillId="6" borderId="8" xfId="0" applyNumberFormat="1" applyFont="1" applyFill="1" applyBorder="1" applyAlignment="1">
      <alignment horizontal="center" vertical="center"/>
    </xf>
    <xf numFmtId="4" fontId="19" fillId="6" borderId="6" xfId="0" applyNumberFormat="1" applyFont="1" applyFill="1" applyBorder="1" applyAlignment="1">
      <alignment horizontal="right" vertical="center"/>
    </xf>
    <xf numFmtId="49" fontId="19" fillId="6" borderId="6" xfId="0" applyNumberFormat="1" applyFont="1" applyFill="1" applyBorder="1" applyAlignment="1">
      <alignment horizontal="center" vertical="center"/>
    </xf>
    <xf numFmtId="49" fontId="19" fillId="2" borderId="50" xfId="0" applyNumberFormat="1" applyFont="1" applyFill="1" applyBorder="1" applyAlignment="1">
      <alignment horizontal="left" vertical="center"/>
    </xf>
    <xf numFmtId="49" fontId="19" fillId="2" borderId="51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9" fillId="4" borderId="59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49" fontId="19" fillId="2" borderId="51" xfId="0" applyNumberFormat="1" applyFont="1" applyFill="1" applyBorder="1" applyAlignment="1">
      <alignment horizontal="left" vertical="center"/>
    </xf>
    <xf numFmtId="49" fontId="19" fillId="2" borderId="51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/>
    </xf>
    <xf numFmtId="0" fontId="19" fillId="2" borderId="6" xfId="0" applyFont="1" applyFill="1" applyBorder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3" borderId="0" xfId="0" applyFont="1" applyFill="1" applyAlignment="1" applyProtection="1">
      <alignment horizontal="center" vertical="center"/>
      <protection locked="0"/>
    </xf>
    <xf numFmtId="2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18" fillId="3" borderId="0" xfId="0" applyFont="1" applyFill="1" applyAlignment="1" applyProtection="1">
      <alignment vertical="center"/>
      <protection locked="0"/>
    </xf>
    <xf numFmtId="49" fontId="19" fillId="2" borderId="3" xfId="0" applyNumberFormat="1" applyFont="1" applyFill="1" applyBorder="1" applyAlignment="1">
      <alignment horizontal="centerContinuous" vertical="center"/>
    </xf>
    <xf numFmtId="49" fontId="19" fillId="2" borderId="2" xfId="0" applyNumberFormat="1" applyFont="1" applyFill="1" applyBorder="1" applyAlignment="1">
      <alignment horizontal="centerContinuous" vertical="center"/>
    </xf>
    <xf numFmtId="49" fontId="19" fillId="2" borderId="4" xfId="0" applyNumberFormat="1" applyFont="1" applyFill="1" applyBorder="1" applyAlignment="1">
      <alignment horizontal="centerContinuous" vertical="center"/>
    </xf>
    <xf numFmtId="4" fontId="19" fillId="2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4" fontId="19" fillId="4" borderId="11" xfId="0" applyNumberFormat="1" applyFont="1" applyFill="1" applyBorder="1" applyAlignment="1">
      <alignment horizontal="right" vertical="center"/>
    </xf>
    <xf numFmtId="4" fontId="19" fillId="4" borderId="65" xfId="0" applyNumberFormat="1" applyFont="1" applyFill="1" applyBorder="1" applyAlignment="1">
      <alignment horizontal="right" vertical="center"/>
    </xf>
    <xf numFmtId="2" fontId="19" fillId="5" borderId="2" xfId="0" applyNumberFormat="1" applyFont="1" applyFill="1" applyBorder="1" applyAlignment="1">
      <alignment horizontal="right" vertical="center"/>
    </xf>
    <xf numFmtId="4" fontId="19" fillId="4" borderId="66" xfId="0" applyNumberFormat="1" applyFont="1" applyFill="1" applyBorder="1" applyAlignment="1">
      <alignment horizontal="right" vertical="center"/>
    </xf>
    <xf numFmtId="4" fontId="19" fillId="4" borderId="76" xfId="0" applyNumberFormat="1" applyFont="1" applyFill="1" applyBorder="1" applyAlignment="1">
      <alignment horizontal="right" vertical="center"/>
    </xf>
    <xf numFmtId="4" fontId="19" fillId="11" borderId="77" xfId="0" applyNumberFormat="1" applyFont="1" applyFill="1" applyBorder="1" applyAlignment="1">
      <alignment horizontal="right" vertical="center"/>
    </xf>
    <xf numFmtId="0" fontId="19" fillId="7" borderId="78" xfId="0" applyFont="1" applyFill="1" applyBorder="1" applyAlignment="1">
      <alignment horizontal="center" vertical="center"/>
    </xf>
    <xf numFmtId="0" fontId="19" fillId="7" borderId="79" xfId="0" applyFont="1" applyFill="1" applyBorder="1" applyAlignment="1">
      <alignment horizontal="center" vertical="center"/>
    </xf>
    <xf numFmtId="0" fontId="19" fillId="7" borderId="80" xfId="0" applyFont="1" applyFill="1" applyBorder="1" applyAlignment="1">
      <alignment horizontal="center" vertical="center"/>
    </xf>
    <xf numFmtId="2" fontId="19" fillId="5" borderId="0" xfId="0" applyNumberFormat="1" applyFont="1" applyFill="1" applyAlignment="1">
      <alignment horizontal="right" vertical="center"/>
    </xf>
    <xf numFmtId="4" fontId="19" fillId="4" borderId="39" xfId="0" applyNumberFormat="1" applyFont="1" applyFill="1" applyBorder="1" applyAlignment="1">
      <alignment horizontal="right" vertical="center"/>
    </xf>
    <xf numFmtId="4" fontId="19" fillId="11" borderId="67" xfId="0" applyNumberFormat="1" applyFont="1" applyFill="1" applyBorder="1" applyAlignment="1">
      <alignment horizontal="right" vertical="center"/>
    </xf>
    <xf numFmtId="4" fontId="19" fillId="4" borderId="70" xfId="0" applyNumberFormat="1" applyFont="1" applyFill="1" applyBorder="1" applyAlignment="1">
      <alignment horizontal="right" vertical="center"/>
    </xf>
    <xf numFmtId="2" fontId="19" fillId="5" borderId="6" xfId="0" applyNumberFormat="1" applyFont="1" applyFill="1" applyBorder="1" applyAlignment="1">
      <alignment horizontal="right" vertical="center"/>
    </xf>
    <xf numFmtId="4" fontId="19" fillId="6" borderId="71" xfId="0" applyNumberFormat="1" applyFont="1" applyFill="1" applyBorder="1" applyAlignment="1">
      <alignment horizontal="right" vertical="center"/>
    </xf>
    <xf numFmtId="4" fontId="19" fillId="4" borderId="73" xfId="0" applyNumberFormat="1" applyFont="1" applyFill="1" applyBorder="1" applyAlignment="1">
      <alignment horizontal="right" vertical="center"/>
    </xf>
    <xf numFmtId="2" fontId="19" fillId="5" borderId="74" xfId="0" applyNumberFormat="1" applyFont="1" applyFill="1" applyBorder="1" applyAlignment="1">
      <alignment horizontal="right" vertical="center"/>
    </xf>
    <xf numFmtId="4" fontId="19" fillId="6" borderId="75" xfId="0" applyNumberFormat="1" applyFont="1" applyFill="1" applyBorder="1" applyAlignment="1">
      <alignment horizontal="right" vertical="center"/>
    </xf>
    <xf numFmtId="4" fontId="19" fillId="11" borderId="36" xfId="0" applyNumberFormat="1" applyFont="1" applyFill="1" applyBorder="1" applyAlignment="1">
      <alignment horizontal="right" vertical="center"/>
    </xf>
    <xf numFmtId="0" fontId="19" fillId="0" borderId="5" xfId="0" applyFont="1" applyBorder="1"/>
    <xf numFmtId="4" fontId="19" fillId="4" borderId="14" xfId="0" applyNumberFormat="1" applyFont="1" applyFill="1" applyBorder="1" applyAlignment="1">
      <alignment horizontal="right" vertical="center"/>
    </xf>
    <xf numFmtId="4" fontId="24" fillId="4" borderId="11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2" fontId="19" fillId="6" borderId="0" xfId="0" applyNumberFormat="1" applyFont="1" applyFill="1" applyAlignment="1">
      <alignment horizontal="right" vertical="center"/>
    </xf>
    <xf numFmtId="4" fontId="19" fillId="4" borderId="15" xfId="0" applyNumberFormat="1" applyFont="1" applyFill="1" applyBorder="1" applyAlignment="1">
      <alignment horizontal="right" vertical="center"/>
    </xf>
    <xf numFmtId="0" fontId="19" fillId="6" borderId="0" xfId="0" applyFont="1" applyFill="1" applyAlignment="1">
      <alignment horizontal="center" vertical="center"/>
    </xf>
    <xf numFmtId="3" fontId="19" fillId="6" borderId="0" xfId="0" applyNumberFormat="1" applyFont="1" applyFill="1" applyAlignment="1">
      <alignment horizontal="right" vertical="center"/>
    </xf>
    <xf numFmtId="49" fontId="19" fillId="6" borderId="0" xfId="0" applyNumberFormat="1" applyFont="1" applyFill="1" applyAlignment="1">
      <alignment horizontal="right" vertical="center"/>
    </xf>
    <xf numFmtId="165" fontId="18" fillId="3" borderId="9" xfId="0" applyNumberFormat="1" applyFont="1" applyFill="1" applyBorder="1" applyAlignment="1" applyProtection="1">
      <alignment horizontal="center" vertical="center"/>
      <protection locked="0"/>
    </xf>
    <xf numFmtId="2" fontId="21" fillId="5" borderId="0" xfId="0" applyNumberFormat="1" applyFont="1" applyFill="1" applyAlignment="1" applyProtection="1">
      <alignment horizontal="right" vertical="center"/>
      <protection locked="0"/>
    </xf>
    <xf numFmtId="4" fontId="19" fillId="6" borderId="15" xfId="0" applyNumberFormat="1" applyFont="1" applyFill="1" applyBorder="1" applyAlignment="1">
      <alignment horizontal="right" vertical="center"/>
    </xf>
    <xf numFmtId="2" fontId="19" fillId="5" borderId="0" xfId="0" applyNumberFormat="1" applyFont="1" applyFill="1" applyAlignment="1" applyProtection="1">
      <alignment horizontal="right" vertical="center"/>
      <protection locked="0"/>
    </xf>
    <xf numFmtId="0" fontId="19" fillId="6" borderId="6" xfId="0" applyFont="1" applyFill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right" vertical="center"/>
    </xf>
    <xf numFmtId="2" fontId="19" fillId="6" borderId="6" xfId="0" applyNumberFormat="1" applyFont="1" applyFill="1" applyBorder="1" applyAlignment="1">
      <alignment horizontal="right" vertical="center"/>
    </xf>
    <xf numFmtId="49" fontId="19" fillId="2" borderId="3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/>
    </xf>
    <xf numFmtId="166" fontId="19" fillId="2" borderId="2" xfId="2" applyNumberFormat="1" applyFont="1" applyFill="1" applyBorder="1" applyAlignment="1">
      <alignment horizontal="center" vertical="center"/>
    </xf>
    <xf numFmtId="166" fontId="19" fillId="2" borderId="2" xfId="2" applyNumberFormat="1" applyFont="1" applyFill="1" applyBorder="1" applyAlignment="1">
      <alignment horizontal="left" vertical="center"/>
    </xf>
    <xf numFmtId="166" fontId="25" fillId="3" borderId="81" xfId="2" applyNumberFormat="1" applyFont="1" applyFill="1" applyBorder="1" applyAlignment="1" applyProtection="1">
      <alignment horizontal="center" vertical="center"/>
      <protection locked="0"/>
    </xf>
    <xf numFmtId="4" fontId="19" fillId="2" borderId="2" xfId="0" applyNumberFormat="1" applyFont="1" applyFill="1" applyBorder="1" applyAlignment="1">
      <alignment horizontal="left" vertical="center"/>
    </xf>
    <xf numFmtId="4" fontId="19" fillId="2" borderId="2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center" vertical="center"/>
    </xf>
    <xf numFmtId="166" fontId="19" fillId="2" borderId="6" xfId="2" applyNumberFormat="1" applyFont="1" applyFill="1" applyBorder="1" applyAlignment="1">
      <alignment horizontal="center" vertical="center"/>
    </xf>
    <xf numFmtId="166" fontId="19" fillId="2" borderId="6" xfId="2" applyNumberFormat="1" applyFont="1" applyFill="1" applyBorder="1" applyAlignment="1">
      <alignment horizontal="left" vertical="center"/>
    </xf>
    <xf numFmtId="166" fontId="25" fillId="3" borderId="82" xfId="2" applyNumberFormat="1" applyFont="1" applyFill="1" applyBorder="1" applyAlignment="1" applyProtection="1">
      <alignment horizontal="center" vertical="center"/>
      <protection locked="0"/>
    </xf>
    <xf numFmtId="4" fontId="19" fillId="2" borderId="6" xfId="0" applyNumberFormat="1" applyFont="1" applyFill="1" applyBorder="1" applyAlignment="1">
      <alignment horizontal="left" vertical="center"/>
    </xf>
    <xf numFmtId="4" fontId="19" fillId="2" borderId="6" xfId="0" applyNumberFormat="1" applyFont="1" applyFill="1" applyBorder="1" applyAlignment="1">
      <alignment horizontal="right" vertical="center"/>
    </xf>
    <xf numFmtId="4" fontId="19" fillId="2" borderId="8" xfId="0" applyNumberFormat="1" applyFont="1" applyFill="1" applyBorder="1" applyAlignment="1">
      <alignment vertical="center"/>
    </xf>
    <xf numFmtId="2" fontId="19" fillId="2" borderId="0" xfId="0" applyNumberFormat="1" applyFont="1" applyFill="1" applyAlignment="1">
      <alignment horizontal="right" vertical="center"/>
    </xf>
    <xf numFmtId="4" fontId="19" fillId="2" borderId="0" xfId="0" applyNumberFormat="1" applyFont="1" applyFill="1" applyAlignment="1">
      <alignment horizontal="right" vertical="center"/>
    </xf>
    <xf numFmtId="4" fontId="19" fillId="2" borderId="13" xfId="0" applyNumberFormat="1" applyFont="1" applyFill="1" applyBorder="1" applyAlignment="1">
      <alignment horizontal="right" vertical="center"/>
    </xf>
    <xf numFmtId="4" fontId="26" fillId="4" borderId="0" xfId="0" applyNumberFormat="1" applyFont="1" applyFill="1" applyAlignment="1">
      <alignment horizontal="right" vertical="center"/>
    </xf>
    <xf numFmtId="49" fontId="26" fillId="4" borderId="0" xfId="0" applyNumberFormat="1" applyFont="1" applyFill="1" applyAlignment="1">
      <alignment horizontal="center" vertical="center"/>
    </xf>
    <xf numFmtId="4" fontId="19" fillId="2" borderId="51" xfId="0" applyNumberFormat="1" applyFont="1" applyFill="1" applyBorder="1" applyAlignment="1">
      <alignment horizontal="right" vertical="center"/>
    </xf>
    <xf numFmtId="4" fontId="19" fillId="2" borderId="53" xfId="0" applyNumberFormat="1" applyFont="1" applyFill="1" applyBorder="1" applyAlignment="1">
      <alignment horizontal="right" vertical="center"/>
    </xf>
    <xf numFmtId="0" fontId="19" fillId="2" borderId="0" xfId="0" applyFont="1" applyFill="1"/>
    <xf numFmtId="4" fontId="19" fillId="4" borderId="43" xfId="0" applyNumberFormat="1" applyFont="1" applyFill="1" applyBorder="1" applyAlignment="1">
      <alignment horizontal="right" vertical="center"/>
    </xf>
    <xf numFmtId="49" fontId="19" fillId="2" borderId="44" xfId="0" applyNumberFormat="1" applyFont="1" applyFill="1" applyBorder="1" applyAlignment="1">
      <alignment horizontal="left" vertical="center"/>
    </xf>
    <xf numFmtId="4" fontId="19" fillId="4" borderId="58" xfId="0" applyNumberFormat="1" applyFont="1" applyFill="1" applyBorder="1" applyAlignment="1">
      <alignment horizontal="right" vertical="center" shrinkToFit="1"/>
    </xf>
    <xf numFmtId="49" fontId="19" fillId="2" borderId="46" xfId="0" applyNumberFormat="1" applyFont="1" applyFill="1" applyBorder="1" applyAlignment="1">
      <alignment horizontal="left" vertical="center"/>
    </xf>
    <xf numFmtId="166" fontId="19" fillId="2" borderId="0" xfId="2" applyNumberFormat="1" applyFont="1" applyFill="1" applyBorder="1" applyAlignment="1">
      <alignment horizontal="left" vertical="center"/>
    </xf>
    <xf numFmtId="49" fontId="19" fillId="2" borderId="60" xfId="0" applyNumberFormat="1" applyFont="1" applyFill="1" applyBorder="1" applyAlignment="1">
      <alignment horizontal="center" vertical="center"/>
    </xf>
    <xf numFmtId="0" fontId="19" fillId="2" borderId="61" xfId="0" applyFont="1" applyFill="1" applyBorder="1"/>
    <xf numFmtId="166" fontId="25" fillId="3" borderId="52" xfId="2" applyNumberFormat="1" applyFont="1" applyFill="1" applyBorder="1" applyAlignment="1" applyProtection="1">
      <alignment horizontal="right" vertical="center"/>
      <protection locked="0"/>
    </xf>
    <xf numFmtId="49" fontId="26" fillId="2" borderId="0" xfId="0" applyNumberFormat="1" applyFont="1" applyFill="1" applyAlignment="1">
      <alignment horizontal="center" vertical="center"/>
    </xf>
    <xf numFmtId="4" fontId="26" fillId="4" borderId="62" xfId="0" applyNumberFormat="1" applyFont="1" applyFill="1" applyBorder="1" applyAlignment="1">
      <alignment horizontal="right" vertical="center"/>
    </xf>
    <xf numFmtId="49" fontId="19" fillId="2" borderId="63" xfId="0" applyNumberFormat="1" applyFont="1" applyFill="1" applyBorder="1" applyAlignment="1">
      <alignment horizontal="center" vertical="center"/>
    </xf>
    <xf numFmtId="4" fontId="19" fillId="2" borderId="63" xfId="0" applyNumberFormat="1" applyFont="1" applyFill="1" applyBorder="1" applyAlignment="1">
      <alignment horizontal="right" vertical="center"/>
    </xf>
    <xf numFmtId="0" fontId="19" fillId="2" borderId="64" xfId="0" applyFont="1" applyFill="1" applyBorder="1"/>
    <xf numFmtId="0" fontId="19" fillId="2" borderId="53" xfId="0" applyFont="1" applyFill="1" applyBorder="1"/>
    <xf numFmtId="0" fontId="19" fillId="2" borderId="13" xfId="0" applyFont="1" applyFill="1" applyBorder="1"/>
    <xf numFmtId="4" fontId="19" fillId="4" borderId="45" xfId="0" applyNumberFormat="1" applyFont="1" applyFill="1" applyBorder="1" applyAlignment="1">
      <alignment horizontal="right" vertical="center" shrinkToFit="1"/>
    </xf>
    <xf numFmtId="2" fontId="19" fillId="2" borderId="46" xfId="0" applyNumberFormat="1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>
      <alignment vertical="center"/>
    </xf>
    <xf numFmtId="0" fontId="19" fillId="2" borderId="4" xfId="0" applyFont="1" applyFill="1" applyBorder="1"/>
    <xf numFmtId="49" fontId="19" fillId="2" borderId="55" xfId="0" applyNumberFormat="1" applyFont="1" applyFill="1" applyBorder="1" applyAlignment="1">
      <alignment horizontal="left" vertical="center"/>
    </xf>
    <xf numFmtId="168" fontId="27" fillId="3" borderId="52" xfId="2" applyNumberFormat="1" applyFont="1" applyFill="1" applyBorder="1" applyAlignment="1" applyProtection="1">
      <alignment horizontal="right" vertical="center"/>
      <protection locked="0"/>
    </xf>
    <xf numFmtId="4" fontId="19" fillId="4" borderId="43" xfId="0" applyNumberFormat="1" applyFont="1" applyFill="1" applyBorder="1" applyAlignment="1">
      <alignment horizontal="right" vertical="center" shrinkToFit="1"/>
    </xf>
    <xf numFmtId="4" fontId="26" fillId="4" borderId="2" xfId="0" applyNumberFormat="1" applyFont="1" applyFill="1" applyBorder="1" applyAlignment="1">
      <alignment horizontal="right" vertical="center"/>
    </xf>
    <xf numFmtId="49" fontId="26" fillId="4" borderId="2" xfId="0" applyNumberFormat="1" applyFont="1" applyFill="1" applyBorder="1" applyAlignment="1">
      <alignment horizontal="center" vertical="center"/>
    </xf>
    <xf numFmtId="4" fontId="26" fillId="4" borderId="6" xfId="0" applyNumberFormat="1" applyFont="1" applyFill="1" applyBorder="1" applyAlignment="1">
      <alignment horizontal="right" vertical="center"/>
    </xf>
    <xf numFmtId="49" fontId="26" fillId="4" borderId="6" xfId="0" applyNumberFormat="1" applyFont="1" applyFill="1" applyBorder="1" applyAlignment="1">
      <alignment horizontal="center" vertical="center"/>
    </xf>
    <xf numFmtId="0" fontId="19" fillId="2" borderId="8" xfId="0" applyFont="1" applyFill="1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horizontal="right" vertical="center"/>
      <protection locked="0"/>
    </xf>
    <xf numFmtId="4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Protection="1">
      <protection locked="0"/>
    </xf>
    <xf numFmtId="166" fontId="25" fillId="9" borderId="0" xfId="2" applyNumberFormat="1" applyFont="1" applyFill="1" applyBorder="1" applyAlignment="1" applyProtection="1">
      <alignment horizontal="center" vertical="center"/>
      <protection locked="0"/>
    </xf>
    <xf numFmtId="4" fontId="25" fillId="9" borderId="0" xfId="2" applyNumberFormat="1" applyFont="1" applyFill="1" applyBorder="1" applyAlignment="1" applyProtection="1">
      <alignment horizontal="right" vertical="center"/>
      <protection locked="0"/>
    </xf>
    <xf numFmtId="4" fontId="25" fillId="9" borderId="0" xfId="2" applyNumberFormat="1" applyFont="1" applyFill="1" applyBorder="1" applyAlignment="1" applyProtection="1">
      <alignment horizontal="center" vertical="center"/>
      <protection locked="0"/>
    </xf>
    <xf numFmtId="166" fontId="19" fillId="2" borderId="6" xfId="2" applyNumberFormat="1" applyFont="1" applyFill="1" applyBorder="1" applyAlignment="1">
      <alignment horizontal="center" vertical="center" wrapText="1"/>
    </xf>
    <xf numFmtId="166" fontId="19" fillId="2" borderId="8" xfId="2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35" xfId="0" applyFont="1" applyBorder="1"/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textRotation="90"/>
    </xf>
    <xf numFmtId="4" fontId="24" fillId="4" borderId="76" xfId="0" applyNumberFormat="1" applyFont="1" applyFill="1" applyBorder="1" applyAlignment="1">
      <alignment horizontal="right" vertical="center"/>
    </xf>
    <xf numFmtId="169" fontId="18" fillId="4" borderId="9" xfId="0" applyNumberFormat="1" applyFont="1" applyFill="1" applyBorder="1" applyAlignment="1" applyProtection="1">
      <alignment horizontal="right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  <xf numFmtId="49" fontId="21" fillId="6" borderId="6" xfId="0" applyNumberFormat="1" applyFont="1" applyFill="1" applyBorder="1" applyAlignment="1">
      <alignment horizontal="center" vertical="center"/>
    </xf>
    <xf numFmtId="49" fontId="21" fillId="6" borderId="74" xfId="0" applyNumberFormat="1" applyFont="1" applyFill="1" applyBorder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19" fillId="6" borderId="13" xfId="0" applyNumberFormat="1" applyFont="1" applyFill="1" applyBorder="1" applyAlignment="1">
      <alignment horizontal="left" vertical="center"/>
    </xf>
    <xf numFmtId="49" fontId="19" fillId="7" borderId="3" xfId="0" applyNumberFormat="1" applyFont="1" applyFill="1" applyBorder="1" applyAlignment="1">
      <alignment horizontal="left" vertical="center"/>
    </xf>
    <xf numFmtId="49" fontId="19" fillId="7" borderId="2" xfId="0" applyNumberFormat="1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4" fontId="19" fillId="7" borderId="2" xfId="0" applyNumberFormat="1" applyFont="1" applyFill="1" applyBorder="1" applyAlignment="1">
      <alignment horizontal="right" vertical="center"/>
    </xf>
    <xf numFmtId="4" fontId="19" fillId="13" borderId="2" xfId="0" applyNumberFormat="1" applyFont="1" applyFill="1" applyBorder="1" applyAlignment="1">
      <alignment horizontal="right" vertical="center"/>
    </xf>
    <xf numFmtId="49" fontId="19" fillId="7" borderId="12" xfId="0" applyNumberFormat="1" applyFont="1" applyFill="1" applyBorder="1" applyAlignment="1">
      <alignment horizontal="left" vertical="center"/>
    </xf>
    <xf numFmtId="49" fontId="19" fillId="7" borderId="0" xfId="0" applyNumberFormat="1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right" vertical="center"/>
    </xf>
    <xf numFmtId="4" fontId="19" fillId="7" borderId="0" xfId="0" applyNumberFormat="1" applyFont="1" applyFill="1" applyAlignment="1">
      <alignment horizontal="right" vertical="center"/>
    </xf>
    <xf numFmtId="4" fontId="19" fillId="13" borderId="0" xfId="0" applyNumberFormat="1" applyFont="1" applyFill="1" applyAlignment="1">
      <alignment horizontal="right" vertical="center"/>
    </xf>
    <xf numFmtId="2" fontId="19" fillId="13" borderId="0" xfId="0" applyNumberFormat="1" applyFont="1" applyFill="1" applyAlignment="1">
      <alignment horizontal="right" vertical="center"/>
    </xf>
    <xf numFmtId="4" fontId="19" fillId="7" borderId="13" xfId="0" applyNumberFormat="1" applyFont="1" applyFill="1" applyBorder="1" applyAlignment="1">
      <alignment horizontal="right" vertical="center"/>
    </xf>
    <xf numFmtId="49" fontId="19" fillId="7" borderId="7" xfId="0" applyNumberFormat="1" applyFont="1" applyFill="1" applyBorder="1" applyAlignment="1">
      <alignment horizontal="left" vertical="center"/>
    </xf>
    <xf numFmtId="49" fontId="19" fillId="7" borderId="6" xfId="0" applyNumberFormat="1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4" fontId="19" fillId="7" borderId="6" xfId="0" applyNumberFormat="1" applyFont="1" applyFill="1" applyBorder="1" applyAlignment="1">
      <alignment horizontal="right" vertical="center"/>
    </xf>
    <xf numFmtId="2" fontId="19" fillId="7" borderId="6" xfId="0" applyNumberFormat="1" applyFont="1" applyFill="1" applyBorder="1" applyAlignment="1">
      <alignment horizontal="right" vertical="center"/>
    </xf>
    <xf numFmtId="4" fontId="19" fillId="7" borderId="8" xfId="0" applyNumberFormat="1" applyFont="1" applyFill="1" applyBorder="1" applyAlignment="1">
      <alignment horizontal="right" vertical="center"/>
    </xf>
    <xf numFmtId="0" fontId="8" fillId="2" borderId="0" xfId="0" applyFont="1" applyFill="1"/>
    <xf numFmtId="49" fontId="19" fillId="2" borderId="83" xfId="0" applyNumberFormat="1" applyFont="1" applyFill="1" applyBorder="1" applyAlignment="1">
      <alignment horizontal="left" vertical="center"/>
    </xf>
    <xf numFmtId="0" fontId="19" fillId="2" borderId="84" xfId="0" applyFont="1" applyFill="1" applyBorder="1"/>
    <xf numFmtId="49" fontId="19" fillId="2" borderId="84" xfId="0" applyNumberFormat="1" applyFont="1" applyFill="1" applyBorder="1" applyAlignment="1">
      <alignment horizontal="left" vertical="center"/>
    </xf>
    <xf numFmtId="168" fontId="27" fillId="3" borderId="85" xfId="2" applyNumberFormat="1" applyFont="1" applyFill="1" applyBorder="1" applyAlignment="1" applyProtection="1">
      <alignment horizontal="right" vertical="center"/>
      <protection locked="0"/>
    </xf>
    <xf numFmtId="0" fontId="18" fillId="11" borderId="9" xfId="0" applyFont="1" applyFill="1" applyBorder="1" applyAlignment="1" applyProtection="1">
      <alignment horizontal="center" vertical="center"/>
      <protection locked="0"/>
    </xf>
    <xf numFmtId="49" fontId="19" fillId="11" borderId="12" xfId="0" applyNumberFormat="1" applyFont="1" applyFill="1" applyBorder="1" applyAlignment="1">
      <alignment horizontal="left" vertical="center"/>
    </xf>
    <xf numFmtId="49" fontId="19" fillId="11" borderId="0" xfId="0" applyNumberFormat="1" applyFont="1" applyFill="1" applyAlignment="1">
      <alignment horizontal="center" vertical="center"/>
    </xf>
    <xf numFmtId="49" fontId="19" fillId="11" borderId="0" xfId="0" applyNumberFormat="1" applyFont="1" applyFill="1" applyAlignment="1">
      <alignment horizontal="left" vertical="center"/>
    </xf>
    <xf numFmtId="166" fontId="19" fillId="11" borderId="0" xfId="2" applyNumberFormat="1" applyFont="1" applyFill="1" applyBorder="1" applyAlignment="1">
      <alignment horizontal="center" vertical="center"/>
    </xf>
    <xf numFmtId="166" fontId="19" fillId="11" borderId="0" xfId="2" applyNumberFormat="1" applyFont="1" applyFill="1" applyBorder="1" applyAlignment="1">
      <alignment horizontal="left" vertical="center"/>
    </xf>
    <xf numFmtId="49" fontId="19" fillId="11" borderId="50" xfId="0" applyNumberFormat="1" applyFont="1" applyFill="1" applyBorder="1" applyAlignment="1">
      <alignment horizontal="left" vertical="center"/>
    </xf>
    <xf numFmtId="49" fontId="19" fillId="11" borderId="51" xfId="0" applyNumberFormat="1" applyFont="1" applyFill="1" applyBorder="1" applyAlignment="1">
      <alignment horizontal="center" vertical="center"/>
    </xf>
    <xf numFmtId="49" fontId="19" fillId="11" borderId="51" xfId="0" applyNumberFormat="1" applyFont="1" applyFill="1" applyBorder="1" applyAlignment="1">
      <alignment horizontal="left" vertical="center"/>
    </xf>
    <xf numFmtId="166" fontId="19" fillId="11" borderId="51" xfId="2" applyNumberFormat="1" applyFont="1" applyFill="1" applyBorder="1" applyAlignment="1">
      <alignment horizontal="center" vertical="center"/>
    </xf>
    <xf numFmtId="166" fontId="19" fillId="11" borderId="51" xfId="2" applyNumberFormat="1" applyFont="1" applyFill="1" applyBorder="1" applyAlignment="1">
      <alignment horizontal="left" vertical="center"/>
    </xf>
    <xf numFmtId="0" fontId="19" fillId="11" borderId="0" xfId="0" applyFont="1" applyFill="1"/>
    <xf numFmtId="166" fontId="20" fillId="2" borderId="2" xfId="2" applyNumberFormat="1" applyFont="1" applyFill="1" applyBorder="1" applyAlignment="1">
      <alignment horizontal="left" vertical="center"/>
    </xf>
    <xf numFmtId="166" fontId="20" fillId="2" borderId="2" xfId="2" applyNumberFormat="1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/>
    </xf>
    <xf numFmtId="49" fontId="0" fillId="0" borderId="86" xfId="0" applyNumberFormat="1" applyBorder="1"/>
    <xf numFmtId="0" fontId="2" fillId="8" borderId="87" xfId="0" applyFont="1" applyFill="1" applyBorder="1" applyAlignment="1">
      <alignment horizontal="left"/>
    </xf>
    <xf numFmtId="0" fontId="2" fillId="0" borderId="87" xfId="0" applyFont="1" applyBorder="1" applyAlignment="1">
      <alignment horizontal="left"/>
    </xf>
    <xf numFmtId="49" fontId="0" fillId="0" borderId="87" xfId="0" applyNumberFormat="1" applyBorder="1"/>
    <xf numFmtId="2" fontId="2" fillId="0" borderId="89" xfId="0" applyNumberFormat="1" applyFont="1" applyBorder="1" applyAlignment="1">
      <alignment horizontal="left"/>
    </xf>
    <xf numFmtId="2" fontId="2" fillId="0" borderId="90" xfId="0" applyNumberFormat="1" applyFont="1" applyBorder="1" applyAlignment="1">
      <alignment horizontal="left"/>
    </xf>
    <xf numFmtId="2" fontId="2" fillId="0" borderId="91" xfId="0" applyNumberFormat="1" applyFont="1" applyBorder="1" applyAlignment="1">
      <alignment horizontal="left"/>
    </xf>
    <xf numFmtId="2" fontId="2" fillId="0" borderId="92" xfId="0" applyNumberFormat="1" applyFont="1" applyBorder="1" applyAlignment="1">
      <alignment horizontal="left"/>
    </xf>
    <xf numFmtId="2" fontId="2" fillId="0" borderId="93" xfId="0" applyNumberFormat="1" applyFont="1" applyBorder="1" applyAlignment="1">
      <alignment horizontal="left"/>
    </xf>
    <xf numFmtId="2" fontId="2" fillId="0" borderId="94" xfId="0" applyNumberFormat="1" applyFont="1" applyBorder="1" applyAlignment="1">
      <alignment horizontal="left"/>
    </xf>
    <xf numFmtId="2" fontId="2" fillId="0" borderId="95" xfId="0" applyNumberFormat="1" applyFont="1" applyBorder="1" applyAlignment="1">
      <alignment horizontal="left"/>
    </xf>
    <xf numFmtId="2" fontId="2" fillId="0" borderId="96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0" fillId="0" borderId="95" xfId="0" applyNumberFormat="1" applyBorder="1"/>
    <xf numFmtId="2" fontId="0" fillId="0" borderId="95" xfId="0" applyNumberFormat="1" applyBorder="1" applyAlignment="1">
      <alignment horizontal="left"/>
    </xf>
    <xf numFmtId="2" fontId="0" fillId="0" borderId="96" xfId="0" applyNumberFormat="1" applyBorder="1"/>
    <xf numFmtId="2" fontId="0" fillId="0" borderId="97" xfId="0" applyNumberFormat="1" applyBorder="1" applyAlignment="1">
      <alignment horizontal="left"/>
    </xf>
    <xf numFmtId="2" fontId="0" fillId="0" borderId="98" xfId="0" applyNumberFormat="1" applyBorder="1"/>
    <xf numFmtId="0" fontId="2" fillId="0" borderId="9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0" fillId="0" borderId="95" xfId="0" applyNumberFormat="1" applyBorder="1"/>
    <xf numFmtId="49" fontId="0" fillId="0" borderId="97" xfId="0" applyNumberFormat="1" applyBorder="1"/>
    <xf numFmtId="49" fontId="0" fillId="0" borderId="100" xfId="0" applyNumberFormat="1" applyBorder="1"/>
    <xf numFmtId="0" fontId="2" fillId="0" borderId="10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87" xfId="0" applyBorder="1" applyAlignment="1">
      <alignment horizontal="left"/>
    </xf>
    <xf numFmtId="0" fontId="2" fillId="15" borderId="13" xfId="0" applyFont="1" applyFill="1" applyBorder="1" applyAlignment="1">
      <alignment horizontal="center"/>
    </xf>
    <xf numFmtId="0" fontId="2" fillId="15" borderId="96" xfId="0" applyFont="1" applyFill="1" applyBorder="1" applyAlignment="1">
      <alignment horizontal="center"/>
    </xf>
    <xf numFmtId="49" fontId="0" fillId="15" borderId="96" xfId="0" applyNumberFormat="1" applyFill="1" applyBorder="1"/>
    <xf numFmtId="49" fontId="0" fillId="15" borderId="98" xfId="0" applyNumberFormat="1" applyFill="1" applyBorder="1"/>
    <xf numFmtId="0" fontId="0" fillId="0" borderId="101" xfId="0" applyBorder="1" applyAlignment="1">
      <alignment horizontal="left"/>
    </xf>
    <xf numFmtId="0" fontId="0" fillId="0" borderId="88" xfId="0" applyBorder="1" applyAlignment="1">
      <alignment horizontal="left"/>
    </xf>
    <xf numFmtId="0" fontId="0" fillId="15" borderId="1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15" borderId="13" xfId="0" applyFill="1" applyBorder="1" applyAlignment="1">
      <alignment horizontal="center"/>
    </xf>
    <xf numFmtId="0" fontId="19" fillId="0" borderId="1" xfId="0" applyFont="1" applyBorder="1" applyAlignment="1">
      <alignment horizontal="center" textRotation="90"/>
    </xf>
    <xf numFmtId="0" fontId="19" fillId="0" borderId="35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 vertical="center" textRotation="90"/>
    </xf>
    <xf numFmtId="0" fontId="19" fillId="0" borderId="35" xfId="0" applyFont="1" applyBorder="1" applyAlignment="1">
      <alignment horizontal="center" vertical="center" textRotation="90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35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textRotation="90"/>
    </xf>
    <xf numFmtId="0" fontId="8" fillId="0" borderId="57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0" fontId="8" fillId="0" borderId="40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</cellXfs>
  <cellStyles count="3">
    <cellStyle name="Ezres" xfId="2" builtinId="3"/>
    <cellStyle name="Hivatkozás" xfId="1" builtinId="8"/>
    <cellStyle name="Normál" xfId="0" builtinId="0"/>
  </cellStyles>
  <dxfs count="17">
    <dxf>
      <font>
        <b/>
        <i val="0"/>
        <strike val="0"/>
        <u val="double"/>
        <color rgb="FFC0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</dxf>
    <dxf>
      <fill>
        <patternFill>
          <bgColor rgb="FF92D050"/>
        </patternFill>
      </fill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  <border>
        <left/>
        <right/>
        <top/>
        <bottom/>
        <vertical/>
        <horizontal/>
      </border>
    </dxf>
    <dxf>
      <font>
        <b/>
        <i val="0"/>
        <strike val="0"/>
        <u val="double"/>
        <color rgb="FFC0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b/>
        <i val="0"/>
        <strike val="0"/>
        <u val="double"/>
        <color rgb="FFC00000"/>
      </font>
      <border>
        <left/>
        <right/>
        <top/>
        <bottom/>
        <vertical/>
        <horizontal/>
      </border>
    </dxf>
    <dxf>
      <font>
        <b/>
        <i val="0"/>
        <strike val="0"/>
        <color rgb="FF00B05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8E4BC"/>
      <color rgb="FFFFFFCC"/>
      <color rgb="FF00B0F0"/>
      <color rgb="FFFFFF99"/>
      <color rgb="FFDDD9C4"/>
      <color rgb="FF92D050"/>
      <color rgb="FFFFC000"/>
      <color rgb="FFEBBF0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hu/url?sa=t&amp;rct=j&amp;q=&amp;esrc=s&amp;source=web&amp;cd=14&amp;ved=0CEkQFjADOAo&amp;url=http%3A%2F%2Fgportal.hu%2Fportal%2Ffmteszov%2Fupload%2F312904_1236772718_00655.pdf&amp;ei=yfVWUtTEBIPa4ATYzoHIAw&amp;usg=AFQjCNF63NRhYLtdPAYvbkaLgafG98uyzw&amp;sig2=ex9pa6LSTfxmmOuph3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ippc.kormany.hu/download/f/0a/70000/BaromfiBAT_finaldraft.pdf" TargetMode="External"/><Relationship Id="rId1" Type="http://schemas.openxmlformats.org/officeDocument/2006/relationships/hyperlink" Target="http://net.jogtar.hu/jr/gen/hjegy_doc.cgi?docid=A0800059.FVM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ippc.kormany.hu/download/b/e9/70000/sertes_publikal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18"/>
  <sheetViews>
    <sheetView windowProtection="1" zoomScale="80" zoomScaleNormal="80" workbookViewId="0">
      <pane ySplit="4" topLeftCell="A5" activePane="bottomLeft" state="frozen"/>
      <selection pane="bottomLeft" activeCell="H23" sqref="H23"/>
    </sheetView>
  </sheetViews>
  <sheetFormatPr defaultColWidth="9.109375" defaultRowHeight="15.75" customHeight="1" x14ac:dyDescent="0.2"/>
  <cols>
    <col min="1" max="1" width="4.44140625" style="196" customWidth="1"/>
    <col min="2" max="2" width="20.88671875" style="194" customWidth="1"/>
    <col min="3" max="3" width="4" style="195" customWidth="1"/>
    <col min="4" max="16" width="5" style="298" customWidth="1"/>
    <col min="17" max="17" width="7.88671875" style="198" customWidth="1"/>
    <col min="18" max="18" width="6.109375" style="199" bestFit="1" customWidth="1"/>
    <col min="19" max="19" width="7.5546875" style="199" customWidth="1"/>
    <col min="20" max="20" width="7.88671875" style="195" customWidth="1"/>
    <col min="21" max="21" width="7.109375" style="299" customWidth="1"/>
    <col min="22" max="22" width="8.44140625" style="199" customWidth="1"/>
    <col min="23" max="16384" width="9.109375" style="196"/>
  </cols>
  <sheetData>
    <row r="1" spans="1:22" ht="12.6" customHeight="1" x14ac:dyDescent="0.2">
      <c r="B1" s="194" t="s">
        <v>158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8"/>
      <c r="T1" s="199"/>
      <c r="U1" s="199"/>
      <c r="V1" s="195"/>
    </row>
    <row r="2" spans="1:22" ht="12" customHeight="1" thickBot="1" x14ac:dyDescent="0.25">
      <c r="B2" s="194" t="s">
        <v>159</v>
      </c>
      <c r="C2" s="197"/>
      <c r="D2" s="197"/>
      <c r="E2" s="197"/>
      <c r="F2" s="197"/>
      <c r="G2" s="200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T2" s="199"/>
      <c r="U2" s="199"/>
      <c r="V2" s="195"/>
    </row>
    <row r="3" spans="1:22" ht="10.95" customHeight="1" x14ac:dyDescent="0.2">
      <c r="B3" s="399" t="s">
        <v>233</v>
      </c>
      <c r="C3" s="144"/>
      <c r="D3" s="201" t="s">
        <v>0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  <c r="Q3" s="145"/>
      <c r="R3" s="204"/>
      <c r="S3" s="204"/>
      <c r="T3" s="145"/>
      <c r="U3" s="145"/>
      <c r="V3" s="205"/>
    </row>
    <row r="4" spans="1:22" s="206" customFormat="1" ht="30" customHeight="1" thickBot="1" x14ac:dyDescent="0.35">
      <c r="B4" s="400"/>
      <c r="C4" s="146" t="s">
        <v>1</v>
      </c>
      <c r="D4" s="207" t="s">
        <v>6</v>
      </c>
      <c r="E4" s="146" t="s">
        <v>7</v>
      </c>
      <c r="F4" s="146" t="s">
        <v>8</v>
      </c>
      <c r="G4" s="146" t="s">
        <v>9</v>
      </c>
      <c r="H4" s="146" t="s">
        <v>10</v>
      </c>
      <c r="I4" s="146" t="s">
        <v>11</v>
      </c>
      <c r="J4" s="146" t="s">
        <v>12</v>
      </c>
      <c r="K4" s="146" t="s">
        <v>13</v>
      </c>
      <c r="L4" s="146" t="s">
        <v>2</v>
      </c>
      <c r="M4" s="146" t="s">
        <v>3</v>
      </c>
      <c r="N4" s="146" t="s">
        <v>4</v>
      </c>
      <c r="O4" s="146" t="s">
        <v>5</v>
      </c>
      <c r="P4" s="208" t="s">
        <v>227</v>
      </c>
      <c r="Q4" s="147" t="s">
        <v>14</v>
      </c>
      <c r="R4" s="210" t="s">
        <v>15</v>
      </c>
      <c r="S4" s="210" t="s">
        <v>16</v>
      </c>
      <c r="T4" s="147" t="s">
        <v>17</v>
      </c>
      <c r="U4" s="209" t="s">
        <v>18</v>
      </c>
      <c r="V4" s="210" t="s">
        <v>19</v>
      </c>
    </row>
    <row r="5" spans="1:22" ht="11.4" customHeight="1" thickBot="1" x14ac:dyDescent="0.25">
      <c r="A5" s="401" t="s">
        <v>189</v>
      </c>
      <c r="B5" s="148" t="s">
        <v>126</v>
      </c>
      <c r="C5" s="149" t="s">
        <v>20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2">
        <f>IF((D5/2+E5+F5+G5+H5+I5+J5+K5+L5+M5+N5+O5+P5/2)/12-Q6&gt;=0,(D5/2+E5+F5+G5+H5+I5+J5+K5+L5+M5+N5+O5+P5/2)/12-Q6,0)</f>
        <v>0</v>
      </c>
      <c r="R5" s="150">
        <v>19.239999999999998</v>
      </c>
      <c r="S5" s="213">
        <f>Q5*R5</f>
        <v>0</v>
      </c>
      <c r="T5" s="151" t="s">
        <v>20</v>
      </c>
      <c r="U5" s="214">
        <v>6.1</v>
      </c>
      <c r="V5" s="215">
        <f t="shared" ref="V5:V37" si="0">S5*U5</f>
        <v>0</v>
      </c>
    </row>
    <row r="6" spans="1:22" ht="11.4" customHeight="1" thickTop="1" thickBot="1" x14ac:dyDescent="0.25">
      <c r="A6" s="402"/>
      <c r="B6" s="152" t="s">
        <v>188</v>
      </c>
      <c r="C6" s="149"/>
      <c r="D6" s="344"/>
      <c r="E6" s="344"/>
      <c r="F6" s="211"/>
      <c r="G6" s="211"/>
      <c r="H6" s="211"/>
      <c r="I6" s="211"/>
      <c r="J6" s="211"/>
      <c r="K6" s="211"/>
      <c r="L6" s="211"/>
      <c r="M6" s="211"/>
      <c r="N6" s="211"/>
      <c r="O6" s="344"/>
      <c r="P6" s="344"/>
      <c r="Q6" s="216">
        <f>(D6*(D7/24)/2+E6*(E7/24)+F6*(F7/24)+G6*(G7/24)+H6*(H7/24)+I6*(I7/24)+J6*(J7/24)+K6*(K7/24)+L6*(L7/24)+M6*(M7/24)+N6*(N7/24)+O6*(O7/24)+P6*(P7/24)/2)/12</f>
        <v>0</v>
      </c>
      <c r="R6" s="164">
        <v>17.605640000000001</v>
      </c>
      <c r="S6" s="313">
        <f>Q6*R6</f>
        <v>0</v>
      </c>
      <c r="T6" s="318" t="s">
        <v>24</v>
      </c>
      <c r="U6" s="164">
        <v>7.1</v>
      </c>
      <c r="V6" s="217">
        <f>S6*U6</f>
        <v>0</v>
      </c>
    </row>
    <row r="7" spans="1:22" ht="11.4" customHeight="1" thickTop="1" thickBot="1" x14ac:dyDescent="0.25">
      <c r="A7" s="402"/>
      <c r="B7" s="154" t="s">
        <v>187</v>
      </c>
      <c r="C7" s="149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8"/>
      <c r="R7" s="219"/>
      <c r="S7" s="219"/>
      <c r="T7" s="219"/>
      <c r="U7" s="219"/>
      <c r="V7" s="220"/>
    </row>
    <row r="8" spans="1:22" ht="11.4" customHeight="1" thickTop="1" thickBot="1" x14ac:dyDescent="0.25">
      <c r="A8" s="402"/>
      <c r="B8" s="155" t="s">
        <v>127</v>
      </c>
      <c r="C8" s="149" t="s">
        <v>20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212">
        <f>IF((D8/2+E8+F8+G8+H8+I8+J8+K8+L8+M8+N8+O8+P8/2)/12-Q9&gt;=0,(D8/2+E8+F8+G8+H8+I8+J8+K8+L8+M8+N8+O8+P8/2)/12-Q9,0)</f>
        <v>0</v>
      </c>
      <c r="R8" s="156">
        <v>19.239999999999998</v>
      </c>
      <c r="S8" s="212">
        <f t="shared" ref="S8" si="1">Q8*R8</f>
        <v>0</v>
      </c>
      <c r="T8" s="153" t="s">
        <v>22</v>
      </c>
      <c r="U8" s="221">
        <v>7.8</v>
      </c>
      <c r="V8" s="222">
        <f>S8*U8</f>
        <v>0</v>
      </c>
    </row>
    <row r="9" spans="1:22" ht="11.4" customHeight="1" thickTop="1" thickBot="1" x14ac:dyDescent="0.25">
      <c r="A9" s="402"/>
      <c r="B9" s="152" t="s">
        <v>188</v>
      </c>
      <c r="C9" s="149"/>
      <c r="D9" s="344"/>
      <c r="E9" s="344"/>
      <c r="F9" s="141"/>
      <c r="G9" s="141"/>
      <c r="H9" s="141"/>
      <c r="I9" s="141"/>
      <c r="J9" s="141"/>
      <c r="K9" s="141"/>
      <c r="L9" s="141"/>
      <c r="M9" s="141"/>
      <c r="N9" s="141"/>
      <c r="O9" s="344"/>
      <c r="P9" s="344"/>
      <c r="Q9" s="212">
        <f>(D9*(D10/24)/2+E9*(E10/24)+F9*(F10/24)+G9*(G10/24)+H9*(H10/24)+I9*(I10/24)+J9*(J10/24)+K9*(K10/24)+L9*(L10/24)+M9*(M10/24)+N9*(N10/24)+O9*(O10/24)+P9*(P10/24)/2)/12</f>
        <v>0</v>
      </c>
      <c r="R9" s="164">
        <v>17.605640000000001</v>
      </c>
      <c r="S9" s="233">
        <f>Q9*R9</f>
        <v>0</v>
      </c>
      <c r="T9" s="318" t="s">
        <v>24</v>
      </c>
      <c r="U9" s="164">
        <v>7.1</v>
      </c>
      <c r="V9" s="223">
        <f>S9*U9</f>
        <v>0</v>
      </c>
    </row>
    <row r="10" spans="1:22" ht="11.4" customHeight="1" thickTop="1" thickBot="1" x14ac:dyDescent="0.25">
      <c r="A10" s="402"/>
      <c r="B10" s="154" t="s">
        <v>187</v>
      </c>
      <c r="C10" s="149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218"/>
      <c r="R10" s="219"/>
      <c r="S10" s="219"/>
      <c r="T10" s="219"/>
      <c r="U10" s="219"/>
      <c r="V10" s="220"/>
    </row>
    <row r="11" spans="1:22" ht="11.4" customHeight="1" thickTop="1" thickBot="1" x14ac:dyDescent="0.25">
      <c r="A11" s="402"/>
      <c r="B11" s="157" t="s">
        <v>121</v>
      </c>
      <c r="C11" s="158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24">
        <f t="shared" ref="Q11:Q12" si="2">(D11/2+E11+F11+G11+H11+I11+J11+K11+L11+M11+N11+O11+P11/2)/12</f>
        <v>0</v>
      </c>
      <c r="R11" s="159">
        <v>7.28</v>
      </c>
      <c r="S11" s="224">
        <f t="shared" ref="S11:S12" si="3">Q11*R11</f>
        <v>0</v>
      </c>
      <c r="T11" s="316" t="s">
        <v>39</v>
      </c>
      <c r="U11" s="225">
        <v>6</v>
      </c>
      <c r="V11" s="226">
        <f t="shared" si="0"/>
        <v>0</v>
      </c>
    </row>
    <row r="12" spans="1:22" ht="11.4" customHeight="1" thickBot="1" x14ac:dyDescent="0.25">
      <c r="A12" s="312"/>
      <c r="B12" s="160" t="s">
        <v>122</v>
      </c>
      <c r="C12" s="158" t="s">
        <v>20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27">
        <f t="shared" si="2"/>
        <v>0</v>
      </c>
      <c r="R12" s="161">
        <v>24.96</v>
      </c>
      <c r="S12" s="227">
        <f t="shared" si="3"/>
        <v>0</v>
      </c>
      <c r="T12" s="317" t="s">
        <v>39</v>
      </c>
      <c r="U12" s="228">
        <v>6</v>
      </c>
      <c r="V12" s="229">
        <f t="shared" si="0"/>
        <v>0</v>
      </c>
    </row>
    <row r="13" spans="1:22" ht="11.4" customHeight="1" thickBot="1" x14ac:dyDescent="0.25">
      <c r="A13" s="395" t="s">
        <v>199</v>
      </c>
      <c r="B13" s="148" t="s">
        <v>170</v>
      </c>
      <c r="C13" s="149" t="s">
        <v>21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212">
        <f>IF((D13/2+E13+F13+G13+H13+I13+J13+K13+L13+M13+N13+O13+P13/2)/12-Q14&gt;=0,(D13/2+E13+F13+G13+H13+I13+J13+K13+L13+M13+N13+O13+P13/2)/12-Q14,0)</f>
        <v>0</v>
      </c>
      <c r="R13" s="150">
        <v>17.68</v>
      </c>
      <c r="S13" s="213">
        <f t="shared" ref="S13:S76" si="4">Q13*R13</f>
        <v>0</v>
      </c>
      <c r="T13" s="151" t="s">
        <v>22</v>
      </c>
      <c r="U13" s="214">
        <v>3.5</v>
      </c>
      <c r="V13" s="215">
        <f t="shared" si="0"/>
        <v>0</v>
      </c>
    </row>
    <row r="14" spans="1:22" ht="11.4" customHeight="1" thickTop="1" thickBot="1" x14ac:dyDescent="0.25">
      <c r="A14" s="396"/>
      <c r="B14" s="152" t="s">
        <v>211</v>
      </c>
      <c r="C14" s="162"/>
      <c r="D14" s="344"/>
      <c r="E14" s="344"/>
      <c r="F14" s="141"/>
      <c r="G14" s="141"/>
      <c r="H14" s="141"/>
      <c r="I14" s="141"/>
      <c r="J14" s="141"/>
      <c r="K14" s="141"/>
      <c r="L14" s="141"/>
      <c r="M14" s="141"/>
      <c r="N14" s="141"/>
      <c r="O14" s="344"/>
      <c r="P14" s="344"/>
      <c r="Q14" s="212">
        <f>(D14*(D15/24)/2+E14*(E15/24)+F14*(F15/24)+G14*(G15/24)+H14*(H15/24)+I14*(I15/24)+J14*(J15/24)+K14*(K15/24)+L14*(L15/24)+M14*(M15/24)+N14*(N15/24)+O14*(O15/24)+P14*(P15/24)/2)/12</f>
        <v>0</v>
      </c>
      <c r="R14" s="164">
        <v>14.57</v>
      </c>
      <c r="S14" s="233">
        <f t="shared" si="4"/>
        <v>0</v>
      </c>
      <c r="T14" s="318" t="s">
        <v>24</v>
      </c>
      <c r="U14" s="164">
        <v>3.5</v>
      </c>
      <c r="V14" s="230">
        <f t="shared" si="0"/>
        <v>0</v>
      </c>
    </row>
    <row r="15" spans="1:22" ht="11.4" customHeight="1" thickTop="1" thickBot="1" x14ac:dyDescent="0.25">
      <c r="A15" s="403"/>
      <c r="B15" s="163" t="s">
        <v>187</v>
      </c>
      <c r="C15" s="158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218"/>
      <c r="R15" s="219"/>
      <c r="S15" s="219"/>
      <c r="T15" s="219"/>
      <c r="U15" s="219"/>
      <c r="V15" s="220"/>
    </row>
    <row r="16" spans="1:22" ht="11.4" customHeight="1" thickBot="1" x14ac:dyDescent="0.25">
      <c r="A16" s="397" t="s">
        <v>200</v>
      </c>
      <c r="B16" s="154" t="s">
        <v>23</v>
      </c>
      <c r="C16" s="162" t="s">
        <v>22</v>
      </c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2">
        <f>IF((D16/2+E16+F16+G16+H16+I16+J16+K16+L16+M16+N16+O16+P16/2)/12-Q17&gt;=0,(D16/2+E16+F16+G16+H16+I16+J16+K16+L16+M16+N16+O16+P16/2)/12-Q17,0)</f>
        <v>0</v>
      </c>
      <c r="R16" s="156">
        <v>2.86</v>
      </c>
      <c r="S16" s="212">
        <f t="shared" si="4"/>
        <v>0</v>
      </c>
      <c r="T16" s="153" t="s">
        <v>20</v>
      </c>
      <c r="U16" s="221">
        <v>3.8</v>
      </c>
      <c r="V16" s="212">
        <f t="shared" si="0"/>
        <v>0</v>
      </c>
    </row>
    <row r="17" spans="1:22" ht="11.4" customHeight="1" thickTop="1" thickBot="1" x14ac:dyDescent="0.25">
      <c r="A17" s="398"/>
      <c r="B17" s="152" t="s">
        <v>207</v>
      </c>
      <c r="C17" s="162"/>
      <c r="D17" s="344"/>
      <c r="E17" s="344"/>
      <c r="F17" s="211"/>
      <c r="G17" s="211"/>
      <c r="H17" s="211"/>
      <c r="I17" s="211"/>
      <c r="J17" s="211"/>
      <c r="K17" s="211"/>
      <c r="L17" s="211"/>
      <c r="M17" s="211"/>
      <c r="N17" s="211"/>
      <c r="O17" s="344"/>
      <c r="P17" s="344"/>
      <c r="Q17" s="212">
        <f>(D17*(D18/24)/2+E17*(E18/24)+F17*(F18/24)+G17*(G18/24)+H17*(H18/24)+I17*(I18/24)+J17*(J18/24)+K17*(K18/24)+L17*(L18/24)+M17*(M18/24)+N17*(N18/24)+O17*(O18/24)+P17*(P18/24)/2)/12</f>
        <v>0</v>
      </c>
      <c r="R17" s="164">
        <v>3.1589999999999998</v>
      </c>
      <c r="S17" s="233">
        <f t="shared" si="4"/>
        <v>0</v>
      </c>
      <c r="T17" s="318" t="s">
        <v>24</v>
      </c>
      <c r="U17" s="164">
        <v>3.8</v>
      </c>
      <c r="V17" s="217">
        <f>S17*U17</f>
        <v>0</v>
      </c>
    </row>
    <row r="18" spans="1:22" ht="11.4" customHeight="1" thickTop="1" thickBot="1" x14ac:dyDescent="0.25">
      <c r="A18" s="398"/>
      <c r="B18" s="163" t="s">
        <v>187</v>
      </c>
      <c r="C18" s="162"/>
      <c r="D18" s="211"/>
      <c r="E18" s="211"/>
      <c r="F18" s="211"/>
      <c r="G18" s="211"/>
      <c r="H18" s="142"/>
      <c r="I18" s="142"/>
      <c r="J18" s="142"/>
      <c r="K18" s="142"/>
      <c r="L18" s="142"/>
      <c r="M18" s="142"/>
      <c r="N18" s="211"/>
      <c r="O18" s="211"/>
      <c r="P18" s="211"/>
      <c r="Q18" s="218"/>
      <c r="R18" s="219"/>
      <c r="S18" s="219"/>
      <c r="T18" s="219"/>
      <c r="U18" s="219"/>
      <c r="V18" s="220"/>
    </row>
    <row r="19" spans="1:22" ht="11.4" customHeight="1" thickTop="1" thickBot="1" x14ac:dyDescent="0.25">
      <c r="A19" s="398"/>
      <c r="B19" s="155" t="s">
        <v>171</v>
      </c>
      <c r="C19" s="162" t="s">
        <v>22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212">
        <f>IF((D19/2+E19+F19+G19+H19+I19+J19+K19+L19+M19+N19+O19+P19/2)/12-Q20&gt;=0,(D19/2+E19+F19+G19+H19+I19+J19+K19+L19+M19+N19+O19+P19/2)/12-Q20,0)</f>
        <v>0</v>
      </c>
      <c r="R19" s="165">
        <v>7.28</v>
      </c>
      <c r="S19" s="232">
        <f t="shared" si="4"/>
        <v>0</v>
      </c>
      <c r="T19" s="153" t="s">
        <v>22</v>
      </c>
      <c r="U19" s="221">
        <v>3.6</v>
      </c>
      <c r="V19" s="232">
        <f t="shared" si="0"/>
        <v>0</v>
      </c>
    </row>
    <row r="20" spans="1:22" ht="11.4" customHeight="1" thickTop="1" thickBot="1" x14ac:dyDescent="0.25">
      <c r="A20" s="398"/>
      <c r="B20" s="152" t="s">
        <v>190</v>
      </c>
      <c r="C20" s="162"/>
      <c r="D20" s="344"/>
      <c r="E20" s="344"/>
      <c r="F20" s="141"/>
      <c r="G20" s="141"/>
      <c r="H20" s="141"/>
      <c r="I20" s="141"/>
      <c r="J20" s="141"/>
      <c r="K20" s="141"/>
      <c r="L20" s="141"/>
      <c r="M20" s="141"/>
      <c r="N20" s="141"/>
      <c r="O20" s="344"/>
      <c r="P20" s="344"/>
      <c r="Q20" s="212">
        <f>(D20*(D21/24)/2+E20*(E21/24)+F20*(F21/24)+G20*(G21/24)+H20*(H21/24)+I20*(I21/24)+J20*(J21/24)+K20*(K21/24)+L20*(L21/24)+M20*(M21/24)+N20*(N21/24)+O20*(O21/24)+P20*(P21/24)/2)/12</f>
        <v>0</v>
      </c>
      <c r="R20" s="164">
        <v>6.1111199999999997</v>
      </c>
      <c r="S20" s="233">
        <f>Q20*R20</f>
        <v>0</v>
      </c>
      <c r="T20" s="318" t="s">
        <v>24</v>
      </c>
      <c r="U20" s="164">
        <v>3.6</v>
      </c>
      <c r="V20" s="232">
        <f t="shared" si="0"/>
        <v>0</v>
      </c>
    </row>
    <row r="21" spans="1:22" ht="11.4" customHeight="1" thickTop="1" thickBot="1" x14ac:dyDescent="0.25">
      <c r="A21" s="398"/>
      <c r="B21" s="163" t="s">
        <v>187</v>
      </c>
      <c r="C21" s="162"/>
      <c r="D21" s="141"/>
      <c r="E21" s="141"/>
      <c r="F21" s="141"/>
      <c r="G21" s="141"/>
      <c r="H21" s="142"/>
      <c r="I21" s="142"/>
      <c r="J21" s="142"/>
      <c r="K21" s="142"/>
      <c r="L21" s="142"/>
      <c r="M21" s="142"/>
      <c r="N21" s="141"/>
      <c r="O21" s="141"/>
      <c r="P21" s="141"/>
      <c r="Q21" s="218"/>
      <c r="R21" s="219"/>
      <c r="S21" s="219"/>
      <c r="T21" s="219"/>
      <c r="U21" s="219"/>
      <c r="V21" s="220"/>
    </row>
    <row r="22" spans="1:22" ht="11.4" customHeight="1" thickTop="1" thickBot="1" x14ac:dyDescent="0.25">
      <c r="A22" s="398"/>
      <c r="B22" s="155" t="s">
        <v>172</v>
      </c>
      <c r="C22" s="162" t="s">
        <v>25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2">
        <f>IF((D22/2+E22+F22+G22+H22+I22+J22+K22+L22+M22+N22+O22+P22/2)/12-Q23&gt;=0,(D22/2+E22+F22+G22+H22+I22+J22+K22+L22+M22+N22+O22+P22/2)/12-Q23,0)</f>
        <v>0</v>
      </c>
      <c r="R22" s="156">
        <v>7.8</v>
      </c>
      <c r="S22" s="232">
        <f t="shared" si="4"/>
        <v>0</v>
      </c>
      <c r="T22" s="166" t="s">
        <v>22</v>
      </c>
      <c r="U22" s="221">
        <v>3.8</v>
      </c>
      <c r="V22" s="232">
        <f>S22*U22</f>
        <v>0</v>
      </c>
    </row>
    <row r="23" spans="1:22" ht="11.4" customHeight="1" thickTop="1" thickBot="1" x14ac:dyDescent="0.25">
      <c r="A23" s="398"/>
      <c r="B23" s="152" t="s">
        <v>190</v>
      </c>
      <c r="C23" s="162"/>
      <c r="D23" s="344"/>
      <c r="E23" s="344"/>
      <c r="F23" s="211"/>
      <c r="G23" s="211"/>
      <c r="H23" s="211"/>
      <c r="I23" s="211"/>
      <c r="J23" s="211"/>
      <c r="K23" s="211"/>
      <c r="L23" s="211"/>
      <c r="M23" s="211"/>
      <c r="N23" s="211"/>
      <c r="O23" s="344"/>
      <c r="P23" s="344"/>
      <c r="Q23" s="212">
        <f>(D23*(D24/24)/2+E23*(E24/24)+F23*(F24/24)+G23*(G24/24)+H23*(H24/24)+I23*(I24/24)+J23*(J24/24)+K23*(K24/24)+L23*(L24/24)+M23*(M24/24)+N23*(N24/24)+O23*(O24/24)+P23*(P24/24)/2)/12</f>
        <v>0</v>
      </c>
      <c r="R23" s="164">
        <v>6.5789473684210531</v>
      </c>
      <c r="S23" s="233">
        <f t="shared" si="4"/>
        <v>0</v>
      </c>
      <c r="T23" s="318" t="s">
        <v>24</v>
      </c>
      <c r="U23" s="164">
        <v>3.8</v>
      </c>
      <c r="V23" s="217">
        <f>S23*U23</f>
        <v>0</v>
      </c>
    </row>
    <row r="24" spans="1:22" ht="11.4" customHeight="1" thickTop="1" thickBot="1" x14ac:dyDescent="0.25">
      <c r="A24" s="398"/>
      <c r="B24" s="163" t="s">
        <v>187</v>
      </c>
      <c r="C24" s="162"/>
      <c r="D24" s="211"/>
      <c r="E24" s="211"/>
      <c r="F24" s="211"/>
      <c r="G24" s="211"/>
      <c r="H24" s="142"/>
      <c r="I24" s="142"/>
      <c r="J24" s="142"/>
      <c r="K24" s="142"/>
      <c r="L24" s="142"/>
      <c r="M24" s="142"/>
      <c r="N24" s="211"/>
      <c r="O24" s="211"/>
      <c r="P24" s="211"/>
      <c r="Q24" s="218"/>
      <c r="R24" s="219"/>
      <c r="S24" s="219"/>
      <c r="T24" s="219"/>
      <c r="U24" s="219"/>
      <c r="V24" s="220"/>
    </row>
    <row r="25" spans="1:22" ht="11.4" customHeight="1" thickTop="1" thickBot="1" x14ac:dyDescent="0.25">
      <c r="A25" s="398"/>
      <c r="B25" s="155" t="s">
        <v>173</v>
      </c>
      <c r="C25" s="162" t="s">
        <v>26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212">
        <f>IF((D25/2+E25+F25+G25+H25+I25+J25+K25+L25+M25+N25+O25+P25/2)/12-Q26&gt;=0,(D25/2+E25+F25+G25+H25+I25+J25+K25+L25+M25+N25+O25+P25/2)/12-Q26,0)</f>
        <v>0</v>
      </c>
      <c r="R25" s="165">
        <v>11.96</v>
      </c>
      <c r="S25" s="232">
        <f t="shared" si="4"/>
        <v>0</v>
      </c>
      <c r="T25" s="153" t="s">
        <v>22</v>
      </c>
      <c r="U25" s="221">
        <v>4.2</v>
      </c>
      <c r="V25" s="232">
        <f t="shared" si="0"/>
        <v>0</v>
      </c>
    </row>
    <row r="26" spans="1:22" ht="11.4" customHeight="1" thickTop="1" thickBot="1" x14ac:dyDescent="0.25">
      <c r="A26" s="398"/>
      <c r="B26" s="152" t="s">
        <v>190</v>
      </c>
      <c r="C26" s="162"/>
      <c r="D26" s="344"/>
      <c r="E26" s="344"/>
      <c r="F26" s="141"/>
      <c r="G26" s="141"/>
      <c r="H26" s="141"/>
      <c r="I26" s="141"/>
      <c r="J26" s="141"/>
      <c r="K26" s="141"/>
      <c r="L26" s="141"/>
      <c r="M26" s="141"/>
      <c r="N26" s="141"/>
      <c r="O26" s="344"/>
      <c r="P26" s="344"/>
      <c r="Q26" s="212">
        <f>(D26*(D27/24)/2+E26*(E27/24)+F26*(F27/24)+G26*(G27/24)+H26*(H27/24)+I26*(I27/24)+J26*(J27/24)+K26*(K27/24)+L26*(L27/24)+M26*(M27/24)+N26*(N27/24)+O26*(O27/24)+P26*(P27/24)/2)/12</f>
        <v>0</v>
      </c>
      <c r="R26" s="164">
        <v>10</v>
      </c>
      <c r="S26" s="233">
        <f t="shared" si="4"/>
        <v>0</v>
      </c>
      <c r="T26" s="318" t="s">
        <v>24</v>
      </c>
      <c r="U26" s="164">
        <v>4.2</v>
      </c>
      <c r="V26" s="217">
        <f>S26*U26</f>
        <v>0</v>
      </c>
    </row>
    <row r="27" spans="1:22" ht="11.4" customHeight="1" thickTop="1" thickBot="1" x14ac:dyDescent="0.25">
      <c r="A27" s="398"/>
      <c r="B27" s="152"/>
      <c r="C27" s="16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218"/>
      <c r="R27" s="219"/>
      <c r="S27" s="219"/>
      <c r="T27" s="219"/>
      <c r="U27" s="219"/>
      <c r="V27" s="220"/>
    </row>
    <row r="28" spans="1:22" ht="11.4" customHeight="1" thickTop="1" thickBot="1" x14ac:dyDescent="0.25">
      <c r="A28" s="398"/>
      <c r="B28" s="155" t="s">
        <v>174</v>
      </c>
      <c r="C28" s="162" t="s">
        <v>27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2">
        <f>IF((D28/2+E28+F28+G28+H28+I28+J28+K28+L28+M28+N28+O28+P28/2)/12-Q29&gt;=0,(D28/2+E28+F28+G28+H28+I28+J28+K28+L28+M28+N28+O28+P28/2)/12-Q29,0)</f>
        <v>0</v>
      </c>
      <c r="R28" s="156">
        <v>10.4</v>
      </c>
      <c r="S28" s="232">
        <f t="shared" si="4"/>
        <v>0</v>
      </c>
      <c r="T28" s="153" t="s">
        <v>22</v>
      </c>
      <c r="U28" s="221">
        <v>5.3</v>
      </c>
      <c r="V28" s="232">
        <f t="shared" si="0"/>
        <v>0</v>
      </c>
    </row>
    <row r="29" spans="1:22" ht="11.4" customHeight="1" thickTop="1" thickBot="1" x14ac:dyDescent="0.25">
      <c r="A29" s="398"/>
      <c r="B29" s="152" t="s">
        <v>190</v>
      </c>
      <c r="C29" s="162"/>
      <c r="D29" s="344"/>
      <c r="E29" s="344"/>
      <c r="F29" s="211"/>
      <c r="G29" s="211"/>
      <c r="H29" s="211"/>
      <c r="I29" s="211"/>
      <c r="J29" s="211"/>
      <c r="K29" s="211"/>
      <c r="L29" s="211"/>
      <c r="M29" s="211"/>
      <c r="N29" s="211"/>
      <c r="O29" s="344"/>
      <c r="P29" s="344"/>
      <c r="Q29" s="212">
        <f>(D29*(D30/24)/2+E29*(E30/24)+F29*(F30/24)+G29*(G30/24)+H29*(H30/24)+I29*(I30/24)+J29*(J30/24)+K29*(K30/24)+L29*(L30/24)+M29*(M30/24)+N29*(N30/24)+O29*(O30/24)+P29*(P30/24)/2)/12</f>
        <v>0</v>
      </c>
      <c r="R29" s="164">
        <v>8.4905660377358494</v>
      </c>
      <c r="S29" s="233">
        <f t="shared" si="4"/>
        <v>0</v>
      </c>
      <c r="T29" s="318" t="s">
        <v>24</v>
      </c>
      <c r="U29" s="164">
        <v>5.3</v>
      </c>
      <c r="V29" s="217">
        <f>S29*U29</f>
        <v>0</v>
      </c>
    </row>
    <row r="30" spans="1:22" ht="11.4" customHeight="1" thickTop="1" thickBot="1" x14ac:dyDescent="0.25">
      <c r="A30" s="398"/>
      <c r="B30" s="163" t="s">
        <v>187</v>
      </c>
      <c r="C30" s="162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8"/>
      <c r="R30" s="219"/>
      <c r="S30" s="219"/>
      <c r="T30" s="219"/>
      <c r="U30" s="219"/>
      <c r="V30" s="220"/>
    </row>
    <row r="31" spans="1:22" ht="11.4" customHeight="1" thickTop="1" thickBot="1" x14ac:dyDescent="0.25">
      <c r="A31" s="398"/>
      <c r="B31" s="155" t="s">
        <v>175</v>
      </c>
      <c r="C31" s="162" t="s">
        <v>21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212">
        <f>IF((D31/2+E31+F31+G31+H31+I31+J31+K31+L31+M31+N31+O31+P31/2)/12-Q32&gt;=0,(D31/2+E31+F31+G31+H31+I31+J31+K31+L31+M31+N31+O31+P31/2)/12-Q32,0)</f>
        <v>0</v>
      </c>
      <c r="R31" s="165">
        <v>17.68</v>
      </c>
      <c r="S31" s="232">
        <f t="shared" si="4"/>
        <v>0</v>
      </c>
      <c r="T31" s="153" t="s">
        <v>22</v>
      </c>
      <c r="U31" s="221">
        <v>3.5</v>
      </c>
      <c r="V31" s="232">
        <f t="shared" si="0"/>
        <v>0</v>
      </c>
    </row>
    <row r="32" spans="1:22" ht="11.4" customHeight="1" thickTop="1" thickBot="1" x14ac:dyDescent="0.25">
      <c r="A32" s="398"/>
      <c r="B32" s="152" t="s">
        <v>190</v>
      </c>
      <c r="C32" s="162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212">
        <f>(D32*(D33/24)/2+E32*(E33/24)+F32*(F33/24)+G32*(G33/24)+H32*(H33/24)+I32*(I33/24)+J32*(J33/24)+K32*(K33/24)+L32*(L33/24)+M32*(M33/24)+N32*(N33/24)+O32*(O33/24)+P32*(P33/24)/2)/12</f>
        <v>0</v>
      </c>
      <c r="R32" s="164">
        <v>14.571428571428571</v>
      </c>
      <c r="S32" s="233">
        <f t="shared" si="4"/>
        <v>0</v>
      </c>
      <c r="T32" s="318" t="s">
        <v>24</v>
      </c>
      <c r="U32" s="164">
        <v>3.5</v>
      </c>
      <c r="V32" s="217">
        <f>S32*U32</f>
        <v>0</v>
      </c>
    </row>
    <row r="33" spans="1:22" ht="11.4" customHeight="1" thickTop="1" thickBot="1" x14ac:dyDescent="0.25">
      <c r="A33" s="398"/>
      <c r="B33" s="163" t="s">
        <v>187</v>
      </c>
      <c r="C33" s="16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218"/>
      <c r="R33" s="219"/>
      <c r="S33" s="219"/>
      <c r="T33" s="219"/>
      <c r="U33" s="219"/>
      <c r="V33" s="220"/>
    </row>
    <row r="34" spans="1:22" ht="11.4" customHeight="1" thickTop="1" thickBot="1" x14ac:dyDescent="0.25">
      <c r="A34" s="398"/>
      <c r="B34" s="155" t="s">
        <v>176</v>
      </c>
      <c r="C34" s="162" t="s">
        <v>21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>
        <f>IF((D34/2+E34+F34+G34+H34+I34+J34+K34+L34+M34+N34+O34+P34/2)/12-Q35&gt;=0,(D34/2+E34+F34+G34+H34+I34+J34+K34+L34+M34+N34+O34+P34/2)/12-Q35,0)</f>
        <v>0</v>
      </c>
      <c r="R34" s="156">
        <v>17.68</v>
      </c>
      <c r="S34" s="232">
        <f t="shared" si="4"/>
        <v>0</v>
      </c>
      <c r="T34" s="153" t="s">
        <v>22</v>
      </c>
      <c r="U34" s="221">
        <v>3.5</v>
      </c>
      <c r="V34" s="232">
        <f t="shared" si="0"/>
        <v>0</v>
      </c>
    </row>
    <row r="35" spans="1:22" ht="11.4" customHeight="1" thickTop="1" thickBot="1" x14ac:dyDescent="0.25">
      <c r="A35" s="398"/>
      <c r="B35" s="152" t="s">
        <v>190</v>
      </c>
      <c r="C35" s="162"/>
      <c r="D35" s="344"/>
      <c r="E35" s="344"/>
      <c r="F35" s="211"/>
      <c r="G35" s="211"/>
      <c r="H35" s="211"/>
      <c r="I35" s="211"/>
      <c r="J35" s="211"/>
      <c r="K35" s="211"/>
      <c r="L35" s="211"/>
      <c r="M35" s="211"/>
      <c r="N35" s="211"/>
      <c r="O35" s="344"/>
      <c r="P35" s="344"/>
      <c r="Q35" s="212">
        <f>(D35*(D36/24)/2+E35*(E36/24)+F35*(F36/24)+G35*(G36/24)+H35*(H36/24)+I35*(I36/24)+J35*(J36/24)+K35*(K36/24)+L35*(L36/24)+M35*(M36/24)+N35*(N36/24)+O35*(O36/24)+P35*(P36/24)/2)/12</f>
        <v>0</v>
      </c>
      <c r="R35" s="164">
        <v>14.571428571428571</v>
      </c>
      <c r="S35" s="233">
        <f t="shared" si="4"/>
        <v>0</v>
      </c>
      <c r="T35" s="318" t="s">
        <v>24</v>
      </c>
      <c r="U35" s="164">
        <v>3.5</v>
      </c>
      <c r="V35" s="217">
        <f>S35*U35</f>
        <v>0</v>
      </c>
    </row>
    <row r="36" spans="1:22" ht="11.4" customHeight="1" thickTop="1" thickBot="1" x14ac:dyDescent="0.25">
      <c r="A36" s="398"/>
      <c r="B36" s="163" t="s">
        <v>187</v>
      </c>
      <c r="C36" s="162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8"/>
      <c r="R36" s="219"/>
      <c r="S36" s="219"/>
      <c r="T36" s="219"/>
      <c r="U36" s="219"/>
      <c r="V36" s="220"/>
    </row>
    <row r="37" spans="1:22" ht="11.4" customHeight="1" thickTop="1" thickBot="1" x14ac:dyDescent="0.25">
      <c r="A37" s="398"/>
      <c r="B37" s="155" t="s">
        <v>177</v>
      </c>
      <c r="C37" s="162" t="s">
        <v>120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212">
        <f>IF((D37/2+E37+F37+G37+H37+I37+J37+K37+L37+M37+N37+O37+P37/2)/12-Q38&gt;=0,(D37/2+E37+F37+G37+H37+I37+J37+K37+L37+M37+N37+O37+P37/2)/12-Q38,0)</f>
        <v>0</v>
      </c>
      <c r="R37" s="165">
        <v>17.68</v>
      </c>
      <c r="S37" s="232">
        <f t="shared" si="4"/>
        <v>0</v>
      </c>
      <c r="T37" s="166" t="s">
        <v>22</v>
      </c>
      <c r="U37" s="221">
        <v>3.5</v>
      </c>
      <c r="V37" s="232">
        <f t="shared" si="0"/>
        <v>0</v>
      </c>
    </row>
    <row r="38" spans="1:22" ht="11.4" customHeight="1" thickTop="1" thickBot="1" x14ac:dyDescent="0.25">
      <c r="A38" s="398"/>
      <c r="B38" s="152" t="s">
        <v>190</v>
      </c>
      <c r="C38" s="162"/>
      <c r="D38" s="344"/>
      <c r="E38" s="344"/>
      <c r="F38" s="141"/>
      <c r="G38" s="141"/>
      <c r="H38" s="141"/>
      <c r="I38" s="141"/>
      <c r="J38" s="141"/>
      <c r="K38" s="141"/>
      <c r="L38" s="141"/>
      <c r="M38" s="141"/>
      <c r="N38" s="141"/>
      <c r="O38" s="344"/>
      <c r="P38" s="344"/>
      <c r="Q38" s="212">
        <f>(D38*(D39/24)/2+E38*(E39/24)+F38*(F39/24)+G38*(G39/24)+H38*(H39/24)+I38*(I39/24)+J38*(J39/24)+K38*(K39/24)+L38*(L39/24)+M38*(M39/24)+N38*(N39/24)+O38*(O39/24)+P38*(P39/24)/2)/12</f>
        <v>0</v>
      </c>
      <c r="R38" s="164">
        <v>14.571428571428571</v>
      </c>
      <c r="S38" s="233">
        <f t="shared" si="4"/>
        <v>0</v>
      </c>
      <c r="T38" s="318" t="s">
        <v>24</v>
      </c>
      <c r="U38" s="164">
        <v>3.5</v>
      </c>
      <c r="V38" s="217">
        <f>S38*U38</f>
        <v>0</v>
      </c>
    </row>
    <row r="39" spans="1:22" ht="11.4" customHeight="1" thickTop="1" thickBot="1" x14ac:dyDescent="0.25">
      <c r="A39" s="398"/>
      <c r="B39" s="163" t="s">
        <v>187</v>
      </c>
      <c r="C39" s="16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218"/>
      <c r="R39" s="219"/>
      <c r="S39" s="219"/>
      <c r="T39" s="219"/>
      <c r="U39" s="219"/>
      <c r="V39" s="220"/>
    </row>
    <row r="40" spans="1:22" ht="11.4" customHeight="1" thickTop="1" thickBot="1" x14ac:dyDescent="0.25">
      <c r="A40" s="311"/>
      <c r="B40" s="319" t="s">
        <v>178</v>
      </c>
      <c r="C40" s="167"/>
      <c r="D40" s="168">
        <f>SUM(D5:D39)</f>
        <v>0</v>
      </c>
      <c r="E40" s="169">
        <f t="shared" ref="E40:P40" si="5">SUM(E5:E37)</f>
        <v>0</v>
      </c>
      <c r="F40" s="169">
        <f t="shared" si="5"/>
        <v>0</v>
      </c>
      <c r="G40" s="169">
        <f t="shared" si="5"/>
        <v>0</v>
      </c>
      <c r="H40" s="169">
        <f t="shared" si="5"/>
        <v>0</v>
      </c>
      <c r="I40" s="169">
        <f t="shared" si="5"/>
        <v>0</v>
      </c>
      <c r="J40" s="169">
        <f t="shared" si="5"/>
        <v>0</v>
      </c>
      <c r="K40" s="169">
        <f t="shared" si="5"/>
        <v>0</v>
      </c>
      <c r="L40" s="169">
        <f t="shared" si="5"/>
        <v>0</v>
      </c>
      <c r="M40" s="169">
        <f t="shared" si="5"/>
        <v>0</v>
      </c>
      <c r="N40" s="169">
        <f t="shared" si="5"/>
        <v>0</v>
      </c>
      <c r="O40" s="169">
        <f t="shared" si="5"/>
        <v>0</v>
      </c>
      <c r="P40" s="169">
        <f t="shared" si="5"/>
        <v>0</v>
      </c>
      <c r="Q40" s="177"/>
      <c r="R40" s="170"/>
      <c r="S40" s="177">
        <f>SUMIF($T5:$T38,2,S5:S38)+SUMIF($T5:$T38,3,S5:S38)</f>
        <v>0</v>
      </c>
      <c r="T40" s="171"/>
      <c r="U40" s="235"/>
      <c r="V40" s="177">
        <f>SUMIF($T5:$T38,2,V5:V38)+SUMIF($T5:$T38,3,V5:V38)</f>
        <v>0</v>
      </c>
    </row>
    <row r="41" spans="1:22" ht="11.4" customHeight="1" thickTop="1" thickBot="1" x14ac:dyDescent="0.25">
      <c r="A41" s="397" t="s">
        <v>201</v>
      </c>
      <c r="B41" s="154" t="s">
        <v>215</v>
      </c>
      <c r="C41" s="162" t="s">
        <v>29</v>
      </c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36">
        <f t="shared" ref="Q41:Q76" si="6">(D41/2+E41+F41+G41+H41+I41+J41+K41+L41+M41+N41+O41+P41/2)/12</f>
        <v>0</v>
      </c>
      <c r="R41" s="156">
        <v>5.0960000000000001</v>
      </c>
      <c r="S41" s="236">
        <f t="shared" si="4"/>
        <v>0</v>
      </c>
      <c r="T41" s="153" t="s">
        <v>20</v>
      </c>
      <c r="U41" s="221">
        <v>3.57</v>
      </c>
      <c r="V41" s="236">
        <f t="shared" ref="V41:V47" si="7">S41*U41</f>
        <v>0</v>
      </c>
    </row>
    <row r="42" spans="1:22" ht="11.4" customHeight="1" thickTop="1" thickBot="1" x14ac:dyDescent="0.25">
      <c r="A42" s="398"/>
      <c r="B42" s="154" t="s">
        <v>213</v>
      </c>
      <c r="C42" s="162" t="s">
        <v>31</v>
      </c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32">
        <f t="shared" si="6"/>
        <v>0</v>
      </c>
      <c r="R42" s="165">
        <v>1.0920000000000001</v>
      </c>
      <c r="S42" s="232">
        <f t="shared" si="4"/>
        <v>0</v>
      </c>
      <c r="T42" s="153" t="s">
        <v>20</v>
      </c>
      <c r="U42" s="221">
        <v>2.4</v>
      </c>
      <c r="V42" s="232">
        <f t="shared" si="7"/>
        <v>0</v>
      </c>
    </row>
    <row r="43" spans="1:22" ht="11.4" customHeight="1" thickTop="1" thickBot="1" x14ac:dyDescent="0.25">
      <c r="A43" s="398"/>
      <c r="B43" s="154" t="s">
        <v>214</v>
      </c>
      <c r="C43" s="162" t="s">
        <v>33</v>
      </c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32">
        <f t="shared" si="6"/>
        <v>0</v>
      </c>
      <c r="R43" s="156">
        <v>1.8460000000000001</v>
      </c>
      <c r="S43" s="232">
        <f t="shared" si="4"/>
        <v>0</v>
      </c>
      <c r="T43" s="153" t="s">
        <v>20</v>
      </c>
      <c r="U43" s="221">
        <v>5</v>
      </c>
      <c r="V43" s="232">
        <f t="shared" si="7"/>
        <v>0</v>
      </c>
    </row>
    <row r="44" spans="1:22" ht="11.4" customHeight="1" thickTop="1" thickBot="1" x14ac:dyDescent="0.25">
      <c r="A44" s="398"/>
      <c r="B44" s="154" t="s">
        <v>209</v>
      </c>
      <c r="C44" s="162" t="s">
        <v>33</v>
      </c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32">
        <f t="shared" si="6"/>
        <v>0</v>
      </c>
      <c r="R44" s="156">
        <v>1.8460000000000001</v>
      </c>
      <c r="S44" s="232">
        <f t="shared" si="4"/>
        <v>0</v>
      </c>
      <c r="T44" s="153" t="s">
        <v>20</v>
      </c>
      <c r="U44" s="221">
        <v>5</v>
      </c>
      <c r="V44" s="232">
        <f t="shared" si="7"/>
        <v>0</v>
      </c>
    </row>
    <row r="45" spans="1:22" ht="11.4" customHeight="1" thickTop="1" thickBot="1" x14ac:dyDescent="0.25">
      <c r="A45" s="398"/>
      <c r="B45" s="154" t="s">
        <v>216</v>
      </c>
      <c r="C45" s="162" t="s">
        <v>33</v>
      </c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32">
        <f t="shared" si="6"/>
        <v>0</v>
      </c>
      <c r="R45" s="156">
        <v>1.8460000000000001</v>
      </c>
      <c r="S45" s="232">
        <f t="shared" si="4"/>
        <v>0</v>
      </c>
      <c r="T45" s="153" t="s">
        <v>22</v>
      </c>
      <c r="U45" s="221">
        <v>5</v>
      </c>
      <c r="V45" s="232">
        <f t="shared" si="7"/>
        <v>0</v>
      </c>
    </row>
    <row r="46" spans="1:22" ht="11.4" customHeight="1" thickTop="1" thickBot="1" x14ac:dyDescent="0.25">
      <c r="A46" s="398"/>
      <c r="B46" s="154" t="s">
        <v>210</v>
      </c>
      <c r="C46" s="162" t="s">
        <v>33</v>
      </c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32">
        <f t="shared" si="6"/>
        <v>0</v>
      </c>
      <c r="R46" s="165">
        <v>1.8460000000000001</v>
      </c>
      <c r="S46" s="232">
        <f t="shared" si="4"/>
        <v>0</v>
      </c>
      <c r="T46" s="153" t="s">
        <v>22</v>
      </c>
      <c r="U46" s="221">
        <v>6.8</v>
      </c>
      <c r="V46" s="232">
        <f t="shared" si="7"/>
        <v>0</v>
      </c>
    </row>
    <row r="47" spans="1:22" ht="11.4" customHeight="1" thickTop="1" thickBot="1" x14ac:dyDescent="0.25">
      <c r="A47" s="398"/>
      <c r="B47" s="154" t="s">
        <v>35</v>
      </c>
      <c r="C47" s="162" t="s">
        <v>36</v>
      </c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32">
        <f t="shared" si="6"/>
        <v>0</v>
      </c>
      <c r="R47" s="156">
        <f>13*365/1000</f>
        <v>4.7450000000000001</v>
      </c>
      <c r="S47" s="232">
        <f t="shared" si="4"/>
        <v>0</v>
      </c>
      <c r="T47" s="166" t="s">
        <v>20</v>
      </c>
      <c r="U47" s="221">
        <v>6.8</v>
      </c>
      <c r="V47" s="232">
        <f t="shared" si="7"/>
        <v>0</v>
      </c>
    </row>
    <row r="48" spans="1:22" ht="11.4" customHeight="1" thickTop="1" thickBot="1" x14ac:dyDescent="0.25">
      <c r="A48" s="231"/>
      <c r="B48" s="172" t="s">
        <v>217</v>
      </c>
      <c r="C48" s="167"/>
      <c r="D48" s="237">
        <f t="shared" ref="D48:P48" si="8">SUM(D41:D47)</f>
        <v>0</v>
      </c>
      <c r="E48" s="237">
        <f t="shared" si="8"/>
        <v>0</v>
      </c>
      <c r="F48" s="237">
        <f t="shared" si="8"/>
        <v>0</v>
      </c>
      <c r="G48" s="237">
        <f t="shared" si="8"/>
        <v>0</v>
      </c>
      <c r="H48" s="237">
        <f t="shared" si="8"/>
        <v>0</v>
      </c>
      <c r="I48" s="237">
        <f t="shared" si="8"/>
        <v>0</v>
      </c>
      <c r="J48" s="237">
        <f t="shared" si="8"/>
        <v>0</v>
      </c>
      <c r="K48" s="237">
        <f t="shared" si="8"/>
        <v>0</v>
      </c>
      <c r="L48" s="237">
        <f t="shared" si="8"/>
        <v>0</v>
      </c>
      <c r="M48" s="237">
        <f t="shared" si="8"/>
        <v>0</v>
      </c>
      <c r="N48" s="237">
        <f t="shared" si="8"/>
        <v>0</v>
      </c>
      <c r="O48" s="237">
        <f t="shared" si="8"/>
        <v>0</v>
      </c>
      <c r="P48" s="237">
        <f t="shared" si="8"/>
        <v>0</v>
      </c>
      <c r="Q48" s="177"/>
      <c r="R48" s="238"/>
      <c r="S48" s="177">
        <f ca="1">SUMIF($T41:$T47,2,S41:S47)+SUMIF($T41:$T467,3,S41:S47)</f>
        <v>0</v>
      </c>
      <c r="T48" s="239"/>
      <c r="U48" s="238"/>
      <c r="V48" s="177">
        <f ca="1">SUMIF($T41:$T47,2,V41:V47)+SUMIF($T41:$T467,3,V41:V47)</f>
        <v>0</v>
      </c>
    </row>
    <row r="49" spans="1:22" ht="11.4" customHeight="1" thickTop="1" thickBot="1" x14ac:dyDescent="0.25">
      <c r="A49" s="395" t="s">
        <v>202</v>
      </c>
      <c r="B49" s="173" t="s">
        <v>37</v>
      </c>
      <c r="C49" s="162" t="s">
        <v>38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314">
        <f t="shared" si="6"/>
        <v>0</v>
      </c>
      <c r="R49" s="174">
        <v>41.86</v>
      </c>
      <c r="S49" s="236">
        <f t="shared" si="4"/>
        <v>0</v>
      </c>
      <c r="T49" s="315" t="s">
        <v>39</v>
      </c>
      <c r="U49" s="241">
        <v>19</v>
      </c>
      <c r="V49" s="242">
        <f>S49*U49</f>
        <v>0</v>
      </c>
    </row>
    <row r="50" spans="1:22" ht="11.4" customHeight="1" thickTop="1" thickBot="1" x14ac:dyDescent="0.25">
      <c r="A50" s="396"/>
      <c r="B50" s="173" t="s">
        <v>128</v>
      </c>
      <c r="C50" s="162" t="s">
        <v>38</v>
      </c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314">
        <f t="shared" si="6"/>
        <v>0</v>
      </c>
      <c r="R50" s="176">
        <v>43</v>
      </c>
      <c r="S50" s="236">
        <f t="shared" si="4"/>
        <v>0</v>
      </c>
      <c r="T50" s="175" t="s">
        <v>22</v>
      </c>
      <c r="U50" s="241">
        <v>16</v>
      </c>
      <c r="V50" s="232">
        <f t="shared" ref="V50:V66" si="9">S50*U50</f>
        <v>0</v>
      </c>
    </row>
    <row r="51" spans="1:22" ht="11.4" customHeight="1" thickTop="1" thickBot="1" x14ac:dyDescent="0.25">
      <c r="A51" s="396"/>
      <c r="B51" s="173" t="s">
        <v>40</v>
      </c>
      <c r="C51" s="162" t="s">
        <v>41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314">
        <f t="shared" si="6"/>
        <v>0</v>
      </c>
      <c r="R51" s="156">
        <v>11.336</v>
      </c>
      <c r="S51" s="232">
        <f t="shared" si="4"/>
        <v>0</v>
      </c>
      <c r="T51" s="153" t="s">
        <v>22</v>
      </c>
      <c r="U51" s="221">
        <v>23</v>
      </c>
      <c r="V51" s="232">
        <f t="shared" si="9"/>
        <v>0</v>
      </c>
    </row>
    <row r="52" spans="1:22" ht="11.4" customHeight="1" thickTop="1" thickBot="1" x14ac:dyDescent="0.25">
      <c r="A52" s="396"/>
      <c r="B52" s="173" t="s">
        <v>42</v>
      </c>
      <c r="C52" s="162" t="s">
        <v>43</v>
      </c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314">
        <f t="shared" si="6"/>
        <v>0</v>
      </c>
      <c r="R52" s="165">
        <v>41.08</v>
      </c>
      <c r="S52" s="232">
        <f t="shared" si="4"/>
        <v>0</v>
      </c>
      <c r="T52" s="153" t="s">
        <v>22</v>
      </c>
      <c r="U52" s="221">
        <v>30.6</v>
      </c>
      <c r="V52" s="232">
        <f t="shared" si="9"/>
        <v>0</v>
      </c>
    </row>
    <row r="53" spans="1:22" ht="11.4" customHeight="1" thickTop="1" thickBot="1" x14ac:dyDescent="0.25">
      <c r="A53" s="396"/>
      <c r="B53" s="173" t="s">
        <v>44</v>
      </c>
      <c r="C53" s="162" t="s">
        <v>43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314">
        <f t="shared" si="6"/>
        <v>0</v>
      </c>
      <c r="R53" s="156">
        <v>17.16</v>
      </c>
      <c r="S53" s="232">
        <f t="shared" si="4"/>
        <v>0</v>
      </c>
      <c r="T53" s="153" t="s">
        <v>22</v>
      </c>
      <c r="U53" s="221">
        <v>30.6</v>
      </c>
      <c r="V53" s="232">
        <f t="shared" si="9"/>
        <v>0</v>
      </c>
    </row>
    <row r="54" spans="1:22" ht="11.4" customHeight="1" thickTop="1" thickBot="1" x14ac:dyDescent="0.25">
      <c r="A54" s="396"/>
      <c r="B54" s="173" t="s">
        <v>45</v>
      </c>
      <c r="C54" s="162" t="s">
        <v>46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314">
        <f>(D54/2+E54+F54+G54+H54+I54+J54+K54+L54+M54+N54+O54+P54/2)/12</f>
        <v>0</v>
      </c>
      <c r="R54" s="156">
        <v>78</v>
      </c>
      <c r="S54" s="232">
        <f>Q54*R54</f>
        <v>0</v>
      </c>
      <c r="T54" s="153" t="s">
        <v>22</v>
      </c>
      <c r="U54" s="243">
        <v>16</v>
      </c>
      <c r="V54" s="232">
        <f t="shared" si="9"/>
        <v>0</v>
      </c>
    </row>
    <row r="55" spans="1:22" ht="11.4" customHeight="1" thickTop="1" thickBot="1" x14ac:dyDescent="0.25">
      <c r="A55" s="396"/>
      <c r="B55" s="173" t="s">
        <v>47</v>
      </c>
      <c r="C55" s="162" t="s">
        <v>48</v>
      </c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314">
        <f>(D55/2+E55+F55+G55+H55+I55+J55+K55+L55+M55+N55+O55+P55/2)/12</f>
        <v>0</v>
      </c>
      <c r="R55" s="156">
        <v>62.4</v>
      </c>
      <c r="S55" s="236">
        <f>Q55*R55</f>
        <v>0</v>
      </c>
      <c r="T55" s="153" t="s">
        <v>22</v>
      </c>
      <c r="U55" s="241">
        <v>15</v>
      </c>
      <c r="V55" s="236">
        <f t="shared" si="9"/>
        <v>0</v>
      </c>
    </row>
    <row r="56" spans="1:22" ht="11.4" customHeight="1" thickTop="1" thickBot="1" x14ac:dyDescent="0.25">
      <c r="A56" s="231"/>
      <c r="B56" s="172" t="s">
        <v>218</v>
      </c>
      <c r="C56" s="167"/>
      <c r="D56" s="237">
        <f>SUM(D49:D55)</f>
        <v>0</v>
      </c>
      <c r="E56" s="237">
        <f t="shared" ref="E56:P56" si="10">SUM(E49:E55)</f>
        <v>0</v>
      </c>
      <c r="F56" s="237">
        <f t="shared" si="10"/>
        <v>0</v>
      </c>
      <c r="G56" s="237">
        <f t="shared" si="10"/>
        <v>0</v>
      </c>
      <c r="H56" s="237">
        <f t="shared" si="10"/>
        <v>0</v>
      </c>
      <c r="I56" s="237">
        <f t="shared" si="10"/>
        <v>0</v>
      </c>
      <c r="J56" s="237">
        <f t="shared" si="10"/>
        <v>0</v>
      </c>
      <c r="K56" s="237">
        <f t="shared" si="10"/>
        <v>0</v>
      </c>
      <c r="L56" s="237">
        <f t="shared" si="10"/>
        <v>0</v>
      </c>
      <c r="M56" s="237">
        <f t="shared" si="10"/>
        <v>0</v>
      </c>
      <c r="N56" s="237">
        <f t="shared" si="10"/>
        <v>0</v>
      </c>
      <c r="O56" s="237">
        <f t="shared" si="10"/>
        <v>0</v>
      </c>
      <c r="P56" s="237">
        <f t="shared" si="10"/>
        <v>0</v>
      </c>
      <c r="Q56" s="177"/>
      <c r="R56" s="177"/>
      <c r="S56" s="177">
        <f ca="1">SUMIF($T49:$T55,2,S49:S55)+SUMIF($T49:$T475,3,S49:S55)</f>
        <v>0</v>
      </c>
      <c r="T56" s="171"/>
      <c r="U56" s="235"/>
      <c r="V56" s="177">
        <f ca="1">SUMIF($T49:$T55,2,V49:V55)+SUMIF($T49:$T475,3,V49:V55)</f>
        <v>0</v>
      </c>
    </row>
    <row r="57" spans="1:22" ht="11.4" customHeight="1" thickTop="1" thickBot="1" x14ac:dyDescent="0.25">
      <c r="A57" s="397" t="s">
        <v>203</v>
      </c>
      <c r="B57" s="154" t="s">
        <v>219</v>
      </c>
      <c r="C57" s="162" t="s">
        <v>49</v>
      </c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2">
        <f>IF((D57/2+E57+F57+G57+H57+I57+J57+K57+L57+M57+N57+O57+P57/2)/12-Q58&gt;=0,(D57/2+E57+F57+G57+H57+I57+J57+K57+L57+M57+N57+O57+P57/2)/12-Q58,0)</f>
        <v>0</v>
      </c>
      <c r="R57" s="156">
        <v>1.56</v>
      </c>
      <c r="S57" s="236">
        <f>Q57*R57</f>
        <v>0</v>
      </c>
      <c r="T57" s="153" t="s">
        <v>22</v>
      </c>
      <c r="U57" s="221">
        <v>9.1999999999999993</v>
      </c>
      <c r="V57" s="236">
        <f t="shared" si="9"/>
        <v>0</v>
      </c>
    </row>
    <row r="58" spans="1:22" ht="11.4" customHeight="1" thickTop="1" thickBot="1" x14ac:dyDescent="0.25">
      <c r="A58" s="398"/>
      <c r="B58" s="152" t="s">
        <v>190</v>
      </c>
      <c r="C58" s="162"/>
      <c r="D58" s="344"/>
      <c r="E58" s="344"/>
      <c r="F58" s="140"/>
      <c r="G58" s="140"/>
      <c r="H58" s="140"/>
      <c r="I58" s="140"/>
      <c r="J58" s="140"/>
      <c r="K58" s="140"/>
      <c r="L58" s="140"/>
      <c r="M58" s="140"/>
      <c r="N58" s="140"/>
      <c r="O58" s="344"/>
      <c r="P58" s="344"/>
      <c r="Q58" s="212">
        <f>(D58*(D59/24)/2+E58*(E59/24)+F58*(F59/24)+G58*(G59/24)+H58*(H59/24)+I58*(I59/24)+J58*(J59/24)+K58*(K59/24)+L58*(L59/24)+M58*(M59/24)+N58*(N59/24)+O58*(O59/24)+P58*(P59/24)/2)/12</f>
        <v>0</v>
      </c>
      <c r="R58" s="164">
        <v>1.609</v>
      </c>
      <c r="S58" s="233">
        <f>Q58*R58</f>
        <v>0</v>
      </c>
      <c r="T58" s="318" t="s">
        <v>24</v>
      </c>
      <c r="U58" s="164">
        <v>9.1999999999999993</v>
      </c>
      <c r="V58" s="217">
        <f>S58*U58</f>
        <v>0</v>
      </c>
    </row>
    <row r="59" spans="1:22" ht="11.4" customHeight="1" thickTop="1" thickBot="1" x14ac:dyDescent="0.25">
      <c r="A59" s="398"/>
      <c r="B59" s="163" t="s">
        <v>187</v>
      </c>
      <c r="C59" s="162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218"/>
      <c r="R59" s="219"/>
      <c r="S59" s="219"/>
      <c r="T59" s="219"/>
      <c r="U59" s="219"/>
      <c r="V59" s="220"/>
    </row>
    <row r="60" spans="1:22" ht="11.4" customHeight="1" thickTop="1" thickBot="1" x14ac:dyDescent="0.25">
      <c r="A60" s="398"/>
      <c r="B60" s="154" t="s">
        <v>220</v>
      </c>
      <c r="C60" s="162" t="s">
        <v>50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2">
        <f>IF((D60/2+E60+F60+G60+H60+I60+J60+K60+L60+M60+N60+O60+P60/2)/12-Q61&gt;=0,(D60/2+E60+F60+G60+H60+I60+J60+K60+L60+M60+N60+O60+P60/2)/12-Q61,0)</f>
        <v>0</v>
      </c>
      <c r="R60" s="165">
        <v>2.1840000000000002</v>
      </c>
      <c r="S60" s="232">
        <f t="shared" si="4"/>
        <v>0</v>
      </c>
      <c r="T60" s="153" t="s">
        <v>22</v>
      </c>
      <c r="U60" s="221">
        <v>7.3</v>
      </c>
      <c r="V60" s="236">
        <f t="shared" si="9"/>
        <v>0</v>
      </c>
    </row>
    <row r="61" spans="1:22" ht="11.4" customHeight="1" thickTop="1" thickBot="1" x14ac:dyDescent="0.25">
      <c r="A61" s="398"/>
      <c r="B61" s="152" t="s">
        <v>190</v>
      </c>
      <c r="C61" s="162"/>
      <c r="D61" s="344"/>
      <c r="E61" s="344"/>
      <c r="F61" s="140"/>
      <c r="G61" s="140"/>
      <c r="H61" s="140"/>
      <c r="I61" s="140"/>
      <c r="J61" s="140"/>
      <c r="K61" s="140"/>
      <c r="L61" s="140"/>
      <c r="M61" s="140"/>
      <c r="N61" s="140"/>
      <c r="O61" s="344"/>
      <c r="P61" s="344"/>
      <c r="Q61" s="212">
        <f>(D61*(D62/24)/2+E61*(E62/24)+F61*(F62/24)+G61*(G62/24)+H61*(H62/24)+I61*(I62/24)+J61*(J62/24)+K61*(K62/24)+L61*(L62/24)+M61*(M62/24)+N61*(N62/24)+O61*(O62/24)+P61*(P62/24)/2)/12</f>
        <v>0</v>
      </c>
      <c r="R61" s="164">
        <v>2.2869999999999999</v>
      </c>
      <c r="S61" s="233">
        <f>Q61*R61</f>
        <v>0</v>
      </c>
      <c r="T61" s="318" t="s">
        <v>24</v>
      </c>
      <c r="U61" s="164">
        <v>7.3</v>
      </c>
      <c r="V61" s="217">
        <f>S61*U61</f>
        <v>0</v>
      </c>
    </row>
    <row r="62" spans="1:22" ht="11.4" customHeight="1" thickTop="1" thickBot="1" x14ac:dyDescent="0.25">
      <c r="A62" s="398"/>
      <c r="B62" s="163" t="s">
        <v>187</v>
      </c>
      <c r="C62" s="162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218"/>
      <c r="R62" s="219"/>
      <c r="S62" s="219"/>
      <c r="T62" s="219"/>
      <c r="U62" s="219"/>
      <c r="V62" s="220"/>
    </row>
    <row r="63" spans="1:22" ht="11.4" customHeight="1" thickTop="1" thickBot="1" x14ac:dyDescent="0.25">
      <c r="A63" s="398"/>
      <c r="B63" s="154" t="s">
        <v>221</v>
      </c>
      <c r="C63" s="162" t="s">
        <v>51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2">
        <f>IF((D63/2+E63+F63+G63+H63+I63+J63+K63+L63+M63+N63+O63+P63/2)/12-Q64&gt;=0,(D63/2+E63+F63+G63+H63+I63+J63+K63+L63+M63+N63+O63+P63/2)/12-Q64,0)</f>
        <v>0</v>
      </c>
      <c r="R63" s="156">
        <v>1.56</v>
      </c>
      <c r="S63" s="232">
        <f t="shared" si="4"/>
        <v>0</v>
      </c>
      <c r="T63" s="153" t="s">
        <v>22</v>
      </c>
      <c r="U63" s="221">
        <v>8.1999999999999993</v>
      </c>
      <c r="V63" s="236">
        <f t="shared" si="9"/>
        <v>0</v>
      </c>
    </row>
    <row r="64" spans="1:22" ht="11.4" customHeight="1" thickTop="1" thickBot="1" x14ac:dyDescent="0.25">
      <c r="A64" s="398"/>
      <c r="B64" s="152" t="s">
        <v>190</v>
      </c>
      <c r="C64" s="162"/>
      <c r="D64" s="344"/>
      <c r="E64" s="344"/>
      <c r="F64" s="140"/>
      <c r="G64" s="140"/>
      <c r="H64" s="140"/>
      <c r="I64" s="140"/>
      <c r="J64" s="140"/>
      <c r="K64" s="140"/>
      <c r="L64" s="140"/>
      <c r="M64" s="140"/>
      <c r="N64" s="140"/>
      <c r="O64" s="344"/>
      <c r="P64" s="344"/>
      <c r="Q64" s="212">
        <f>(D64*(D65/24)/2+E64*(E65/24)+F64*(F65/24)+G64*(G65/24)+H64*(H65/24)+I64*(I65/24)+J64*(J65/24)+K64*(K65/24)+L64*(L65/24)+M64*(M65/24)+N64*(N65/24)+O64*(O65/24)+P64*(P65/24)/2)/12</f>
        <v>0</v>
      </c>
      <c r="R64" s="164">
        <v>1.65</v>
      </c>
      <c r="S64" s="233">
        <f>Q64*R64</f>
        <v>0</v>
      </c>
      <c r="T64" s="318" t="s">
        <v>24</v>
      </c>
      <c r="U64" s="164">
        <v>8.1999999999999993</v>
      </c>
      <c r="V64" s="217">
        <f>S64*U64</f>
        <v>0</v>
      </c>
    </row>
    <row r="65" spans="1:22" ht="11.4" customHeight="1" thickTop="1" thickBot="1" x14ac:dyDescent="0.25">
      <c r="A65" s="398"/>
      <c r="B65" s="163" t="s">
        <v>187</v>
      </c>
      <c r="C65" s="162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218"/>
      <c r="R65" s="219"/>
      <c r="S65" s="219"/>
      <c r="T65" s="219"/>
      <c r="U65" s="219"/>
      <c r="V65" s="220"/>
    </row>
    <row r="66" spans="1:22" ht="11.4" customHeight="1" thickTop="1" thickBot="1" x14ac:dyDescent="0.25">
      <c r="A66" s="398"/>
      <c r="B66" s="154" t="s">
        <v>222</v>
      </c>
      <c r="C66" s="162" t="s">
        <v>52</v>
      </c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2">
        <f>IF((D66/2+E66+F66+G66+H66+I66+J66+K66+L66+M66+N66+O66+P66/2)/12-Q67&gt;=0,(D66/2+E66+F66+G66+H66+I66+J66+K66+L66+M66+N66+O66+P66/2)/12-Q67,0)</f>
        <v>0</v>
      </c>
      <c r="R66" s="156">
        <v>2.6</v>
      </c>
      <c r="S66" s="232">
        <f t="shared" si="4"/>
        <v>0</v>
      </c>
      <c r="T66" s="153" t="s">
        <v>22</v>
      </c>
      <c r="U66" s="221">
        <v>5.8</v>
      </c>
      <c r="V66" s="236">
        <f t="shared" si="9"/>
        <v>0</v>
      </c>
    </row>
    <row r="67" spans="1:22" ht="11.4" customHeight="1" thickTop="1" thickBot="1" x14ac:dyDescent="0.25">
      <c r="A67" s="398"/>
      <c r="B67" s="152" t="s">
        <v>190</v>
      </c>
      <c r="C67" s="162"/>
      <c r="D67" s="344"/>
      <c r="E67" s="344"/>
      <c r="F67" s="140"/>
      <c r="G67" s="140"/>
      <c r="H67" s="140"/>
      <c r="I67" s="140"/>
      <c r="J67" s="140"/>
      <c r="K67" s="140"/>
      <c r="L67" s="140"/>
      <c r="M67" s="140"/>
      <c r="N67" s="140"/>
      <c r="O67" s="344"/>
      <c r="P67" s="344"/>
      <c r="Q67" s="212">
        <f>(D67*(D68/24)/2+E67*(E68/24)+F67*(F68/24)+G67*(G68/24)+H67*(H68/24)+I67*(I68/24)+J67*(J68/24)+K67*(K68/24)+L67*(L68/24)+M67*(M68/24)+N67*(N68/24)+O67*(O68/24)+P67*(P68/24)/2)/12</f>
        <v>0</v>
      </c>
      <c r="R67" s="164">
        <v>2.67</v>
      </c>
      <c r="S67" s="233">
        <f>Q67*R67</f>
        <v>0</v>
      </c>
      <c r="T67" s="318" t="s">
        <v>24</v>
      </c>
      <c r="U67" s="164">
        <v>5.8</v>
      </c>
      <c r="V67" s="217">
        <f>S67*U67</f>
        <v>0</v>
      </c>
    </row>
    <row r="68" spans="1:22" ht="11.4" customHeight="1" thickTop="1" thickBot="1" x14ac:dyDescent="0.25">
      <c r="A68" s="398"/>
      <c r="B68" s="163" t="s">
        <v>187</v>
      </c>
      <c r="C68" s="162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218"/>
      <c r="R68" s="219"/>
      <c r="S68" s="219"/>
      <c r="T68" s="219"/>
      <c r="U68" s="219"/>
      <c r="V68" s="220"/>
    </row>
    <row r="69" spans="1:22" ht="11.4" customHeight="1" thickBot="1" x14ac:dyDescent="0.25">
      <c r="A69" s="231"/>
      <c r="B69" s="178" t="s">
        <v>223</v>
      </c>
      <c r="C69" s="179"/>
      <c r="D69" s="237">
        <f>SUM(D57:D68)</f>
        <v>0</v>
      </c>
      <c r="E69" s="237">
        <f t="shared" ref="E69:P69" si="11">SUM(E57:E66)</f>
        <v>0</v>
      </c>
      <c r="F69" s="237">
        <f t="shared" si="11"/>
        <v>0</v>
      </c>
      <c r="G69" s="237">
        <f t="shared" si="11"/>
        <v>0</v>
      </c>
      <c r="H69" s="237">
        <f t="shared" si="11"/>
        <v>0</v>
      </c>
      <c r="I69" s="237">
        <f t="shared" si="11"/>
        <v>0</v>
      </c>
      <c r="J69" s="237">
        <f t="shared" si="11"/>
        <v>0</v>
      </c>
      <c r="K69" s="237">
        <f t="shared" si="11"/>
        <v>0</v>
      </c>
      <c r="L69" s="237">
        <f t="shared" si="11"/>
        <v>0</v>
      </c>
      <c r="M69" s="237">
        <f t="shared" si="11"/>
        <v>0</v>
      </c>
      <c r="N69" s="237">
        <f t="shared" si="11"/>
        <v>0</v>
      </c>
      <c r="O69" s="237">
        <f t="shared" si="11"/>
        <v>0</v>
      </c>
      <c r="P69" s="237">
        <f t="shared" si="11"/>
        <v>0</v>
      </c>
      <c r="Q69" s="177"/>
      <c r="R69" s="177"/>
      <c r="S69" s="177">
        <f ca="1">SUMIF($T57:$T68,2,S58:S68)+SUMIF($T57:$T488,3,S57:S68)</f>
        <v>0</v>
      </c>
      <c r="T69" s="171"/>
      <c r="U69" s="235"/>
      <c r="V69" s="177">
        <f ca="1">SUMIF($T57:$T68,2,V58:V68)+SUMIF($T57:$T488,3,V57:V68)</f>
        <v>0</v>
      </c>
    </row>
    <row r="70" spans="1:22" ht="11.4" customHeight="1" thickTop="1" thickBot="1" x14ac:dyDescent="0.25">
      <c r="A70" s="397" t="s">
        <v>204</v>
      </c>
      <c r="B70" s="154" t="s">
        <v>204</v>
      </c>
      <c r="C70" s="162" t="s">
        <v>39</v>
      </c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2">
        <f>IF((D70/2+E70+F70+G70+H70+I70+J70+K70+L70+M70+N70+O70+P70/2)/12-Q71&gt;=0,(D70/2+E70+F70+G70+H70+I70+J70+K70+L70+M70+N70+O70+P70/2)/12-Q71,0)</f>
        <v>0</v>
      </c>
      <c r="R70" s="156">
        <v>4.8879999999999999</v>
      </c>
      <c r="S70" s="236">
        <f>Q70*R70</f>
        <v>0</v>
      </c>
      <c r="T70" s="153" t="s">
        <v>20</v>
      </c>
      <c r="U70" s="221">
        <v>11.4</v>
      </c>
      <c r="V70" s="236">
        <f>S70*U70</f>
        <v>0</v>
      </c>
    </row>
    <row r="71" spans="1:22" ht="11.4" customHeight="1" thickTop="1" thickBot="1" x14ac:dyDescent="0.25">
      <c r="A71" s="398"/>
      <c r="B71" s="152" t="s">
        <v>190</v>
      </c>
      <c r="C71" s="162"/>
      <c r="D71" s="344"/>
      <c r="E71" s="344"/>
      <c r="F71" s="211"/>
      <c r="G71" s="211"/>
      <c r="H71" s="211"/>
      <c r="I71" s="211"/>
      <c r="J71" s="211"/>
      <c r="K71" s="211"/>
      <c r="L71" s="211"/>
      <c r="M71" s="211"/>
      <c r="N71" s="211"/>
      <c r="O71" s="344"/>
      <c r="P71" s="344"/>
      <c r="Q71" s="212">
        <f>(D71*(D72/24)/2+E71*(E72/24)+F71*(F72/24)+G71*(G72/24)+H71*(H72/24)+I71*(I72/24)+J71*(J72/24)+K71*(K72/24)+L71*(L72/24)+M71*(M72/24)+N71*(N72/24)+O71*(O72/24)+P71*(P72/24)/2)/12</f>
        <v>0</v>
      </c>
      <c r="R71" s="164">
        <v>4.83</v>
      </c>
      <c r="S71" s="233">
        <f>Q71*R71</f>
        <v>0</v>
      </c>
      <c r="T71" s="318" t="s">
        <v>24</v>
      </c>
      <c r="U71" s="164">
        <v>11.4</v>
      </c>
      <c r="V71" s="234">
        <f>S71*U71</f>
        <v>0</v>
      </c>
    </row>
    <row r="72" spans="1:22" ht="11.4" customHeight="1" thickTop="1" thickBot="1" x14ac:dyDescent="0.25">
      <c r="A72" s="398"/>
      <c r="B72" s="163" t="s">
        <v>187</v>
      </c>
      <c r="C72" s="162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8"/>
      <c r="R72" s="219"/>
      <c r="S72" s="219"/>
      <c r="T72" s="219"/>
      <c r="U72" s="219"/>
      <c r="V72" s="220"/>
    </row>
    <row r="73" spans="1:22" ht="11.4" customHeight="1" thickBot="1" x14ac:dyDescent="0.25">
      <c r="A73" s="231"/>
      <c r="B73" s="172" t="s">
        <v>224</v>
      </c>
      <c r="C73" s="167"/>
      <c r="D73" s="237">
        <f>SUM(D70)</f>
        <v>0</v>
      </c>
      <c r="E73" s="237">
        <f t="shared" ref="E73:P73" si="12">SUM(E70)</f>
        <v>0</v>
      </c>
      <c r="F73" s="237">
        <f t="shared" si="12"/>
        <v>0</v>
      </c>
      <c r="G73" s="237">
        <f t="shared" si="12"/>
        <v>0</v>
      </c>
      <c r="H73" s="237">
        <f t="shared" si="12"/>
        <v>0</v>
      </c>
      <c r="I73" s="237">
        <f t="shared" si="12"/>
        <v>0</v>
      </c>
      <c r="J73" s="237">
        <f t="shared" si="12"/>
        <v>0</v>
      </c>
      <c r="K73" s="237">
        <f t="shared" si="12"/>
        <v>0</v>
      </c>
      <c r="L73" s="237">
        <f t="shared" si="12"/>
        <v>0</v>
      </c>
      <c r="M73" s="237">
        <f t="shared" si="12"/>
        <v>0</v>
      </c>
      <c r="N73" s="237">
        <f t="shared" si="12"/>
        <v>0</v>
      </c>
      <c r="O73" s="237">
        <f t="shared" si="12"/>
        <v>0</v>
      </c>
      <c r="P73" s="237">
        <f t="shared" si="12"/>
        <v>0</v>
      </c>
      <c r="Q73" s="177"/>
      <c r="R73" s="177"/>
      <c r="S73" s="177">
        <f>SUMIF($T70:$T72,2,S70:S72)+SUMIF($T70:$T72,3,S70:S72)</f>
        <v>0</v>
      </c>
      <c r="T73" s="171"/>
      <c r="U73" s="235"/>
      <c r="V73" s="177">
        <f>SUMIF($T70:$T72,2,V70:V72)+SUMIF($T70:$T72,3,V70:V72)</f>
        <v>0</v>
      </c>
    </row>
    <row r="74" spans="1:22" ht="11.4" customHeight="1" thickTop="1" thickBot="1" x14ac:dyDescent="0.25">
      <c r="A74" s="309"/>
      <c r="B74" s="154" t="s">
        <v>144</v>
      </c>
      <c r="C74" s="162" t="s">
        <v>53</v>
      </c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32">
        <f>(D74/2+E74+F74+G74+H74+I74+J74+K74+L74+M74+N74+O74+P74/2)/12</f>
        <v>0</v>
      </c>
      <c r="R74" s="180">
        <v>0.43680000000000002</v>
      </c>
      <c r="S74" s="232">
        <f>Q74*R74</f>
        <v>0</v>
      </c>
      <c r="T74" s="175" t="s">
        <v>25</v>
      </c>
      <c r="U74" s="241">
        <v>12</v>
      </c>
      <c r="V74" s="236">
        <f>S74*U74</f>
        <v>0</v>
      </c>
    </row>
    <row r="75" spans="1:22" ht="11.4" customHeight="1" thickTop="1" thickBot="1" x14ac:dyDescent="0.25">
      <c r="A75" s="310"/>
      <c r="B75" s="154" t="s">
        <v>143</v>
      </c>
      <c r="C75" s="162" t="s">
        <v>53</v>
      </c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32">
        <f>(D75/2+E75+F75+G75+H75+I75+J75+K75+L75+M75+N75+O75+P75/2)/12</f>
        <v>0</v>
      </c>
      <c r="R75" s="180">
        <v>3.84</v>
      </c>
      <c r="S75" s="232">
        <f>Q75*R75</f>
        <v>0</v>
      </c>
      <c r="T75" s="175" t="s">
        <v>22</v>
      </c>
      <c r="U75" s="241">
        <v>14.5</v>
      </c>
      <c r="V75" s="236">
        <f>S75*U75</f>
        <v>0</v>
      </c>
    </row>
    <row r="76" spans="1:22" ht="11.4" customHeight="1" thickTop="1" thickBot="1" x14ac:dyDescent="0.25">
      <c r="A76" s="310"/>
      <c r="B76" s="154" t="s">
        <v>54</v>
      </c>
      <c r="C76" s="162" t="s">
        <v>55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32">
        <f t="shared" si="6"/>
        <v>0</v>
      </c>
      <c r="R76" s="211"/>
      <c r="S76" s="232">
        <f t="shared" si="4"/>
        <v>0</v>
      </c>
      <c r="T76" s="211"/>
      <c r="U76" s="211"/>
      <c r="V76" s="232">
        <f>S76*U76</f>
        <v>0</v>
      </c>
    </row>
    <row r="77" spans="1:22" ht="11.4" customHeight="1" thickTop="1" thickBot="1" x14ac:dyDescent="0.25">
      <c r="A77" s="231"/>
      <c r="B77" s="157" t="s">
        <v>185</v>
      </c>
      <c r="C77" s="181"/>
      <c r="D77" s="244">
        <f>SUM(D74:D76)</f>
        <v>0</v>
      </c>
      <c r="E77" s="244">
        <f t="shared" ref="E77:P77" si="13">SUM(E74:E76)</f>
        <v>0</v>
      </c>
      <c r="F77" s="244">
        <f t="shared" si="13"/>
        <v>0</v>
      </c>
      <c r="G77" s="244">
        <f t="shared" si="13"/>
        <v>0</v>
      </c>
      <c r="H77" s="244">
        <f t="shared" si="13"/>
        <v>0</v>
      </c>
      <c r="I77" s="244">
        <f t="shared" si="13"/>
        <v>0</v>
      </c>
      <c r="J77" s="244">
        <f t="shared" si="13"/>
        <v>0</v>
      </c>
      <c r="K77" s="244">
        <f t="shared" si="13"/>
        <v>0</v>
      </c>
      <c r="L77" s="244">
        <f t="shared" si="13"/>
        <v>0</v>
      </c>
      <c r="M77" s="244">
        <f t="shared" si="13"/>
        <v>0</v>
      </c>
      <c r="N77" s="244">
        <f t="shared" si="13"/>
        <v>0</v>
      </c>
      <c r="O77" s="244">
        <f t="shared" si="13"/>
        <v>0</v>
      </c>
      <c r="P77" s="244">
        <f t="shared" si="13"/>
        <v>0</v>
      </c>
      <c r="Q77" s="245"/>
      <c r="R77" s="182"/>
      <c r="S77" s="177">
        <f>SUMIF($T74:$T76,2,S74:S76)+SUMIF($T74:$T76,3,S74:S76)</f>
        <v>0</v>
      </c>
      <c r="T77" s="183"/>
      <c r="U77" s="246"/>
      <c r="V77" s="177">
        <f>SUMIF($T74:$T76,2,V74:V76)+SUMIF($T74:$T76,3,V74:V76)</f>
        <v>0</v>
      </c>
    </row>
    <row r="78" spans="1:22" ht="11.4" customHeight="1" x14ac:dyDescent="0.2">
      <c r="B78" s="320" t="s">
        <v>212</v>
      </c>
      <c r="C78" s="321"/>
      <c r="D78" s="322"/>
      <c r="E78" s="322"/>
      <c r="F78" s="322"/>
      <c r="G78" s="322"/>
      <c r="H78" s="322"/>
      <c r="I78" s="322"/>
      <c r="J78" s="323"/>
      <c r="K78" s="322"/>
      <c r="L78" s="322"/>
      <c r="M78" s="322"/>
      <c r="N78" s="322"/>
      <c r="O78" s="322"/>
      <c r="P78" s="322"/>
      <c r="Q78" s="324">
        <f>IFERROR((V78/S78),0)</f>
        <v>0</v>
      </c>
      <c r="R78" s="323" t="s">
        <v>225</v>
      </c>
      <c r="S78" s="323">
        <f>SUMIF($T5:$T77,2,S5:S77)+SUMIF($T5:$T77,3,S5:S77)+SUMIF($T5:$T77,6,S5:S77)+SUMIF($T5:$T77,6,S5:S77)</f>
        <v>0</v>
      </c>
      <c r="T78" s="321" t="s">
        <v>180</v>
      </c>
      <c r="U78" s="324"/>
      <c r="V78" s="323">
        <f>SUMIF($T5:$T77,2,V5:V77)+SUMIF($T5:$T77,3,V5:V77)+SUMIF($T5:$T77,6,V5:V77)+SUMIF($T5:$T77,6,V5:V77)</f>
        <v>0</v>
      </c>
    </row>
    <row r="79" spans="1:22" ht="11.4" customHeight="1" x14ac:dyDescent="0.2">
      <c r="B79" s="325" t="s">
        <v>208</v>
      </c>
      <c r="C79" s="326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8"/>
      <c r="R79" s="329"/>
      <c r="S79" s="329"/>
      <c r="T79" s="326"/>
      <c r="U79" s="330"/>
      <c r="V79" s="329">
        <f>SUMIF($T5:$T77,4,V5:V77)</f>
        <v>0</v>
      </c>
    </row>
    <row r="80" spans="1:22" ht="11.4" customHeight="1" thickBot="1" x14ac:dyDescent="0.25">
      <c r="B80" s="325" t="s">
        <v>169</v>
      </c>
      <c r="C80" s="326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8">
        <f>S80/0.95</f>
        <v>0</v>
      </c>
      <c r="R80" s="326" t="s">
        <v>195</v>
      </c>
      <c r="S80" s="329">
        <f>SUMIF($T5:$T77,1,S5:S77)</f>
        <v>0</v>
      </c>
      <c r="T80" s="326" t="s">
        <v>180</v>
      </c>
      <c r="U80" s="330">
        <f t="shared" ref="U80" si="14">IFERROR((V80/S80),0)</f>
        <v>0</v>
      </c>
      <c r="V80" s="329">
        <f>SUMIF($T5:$T77,1,V5:V77)</f>
        <v>0</v>
      </c>
    </row>
    <row r="81" spans="2:22" ht="11.4" customHeight="1" thickTop="1" thickBot="1" x14ac:dyDescent="0.25">
      <c r="B81" s="325" t="s">
        <v>235</v>
      </c>
      <c r="C81" s="326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31"/>
      <c r="R81" s="329"/>
      <c r="S81" s="343">
        <v>0</v>
      </c>
      <c r="T81" s="326" t="s">
        <v>180</v>
      </c>
      <c r="U81" s="330"/>
      <c r="V81" s="332">
        <f>IFERROR((V78/S78*S81),0)</f>
        <v>0</v>
      </c>
    </row>
    <row r="82" spans="2:22" ht="11.4" customHeight="1" thickTop="1" thickBot="1" x14ac:dyDescent="0.25">
      <c r="B82" s="325" t="s">
        <v>236</v>
      </c>
      <c r="C82" s="326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8"/>
      <c r="R82" s="329"/>
      <c r="S82" s="343">
        <v>0</v>
      </c>
      <c r="T82" s="326" t="s">
        <v>180</v>
      </c>
      <c r="U82" s="330"/>
      <c r="V82" s="332">
        <f>IFERROR(V78/S78*S82,0)</f>
        <v>0</v>
      </c>
    </row>
    <row r="83" spans="2:22" ht="11.4" customHeight="1" thickTop="1" thickBot="1" x14ac:dyDescent="0.25">
      <c r="B83" s="325" t="s">
        <v>237</v>
      </c>
      <c r="C83" s="326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43">
        <v>0</v>
      </c>
      <c r="R83" s="327" t="s">
        <v>195</v>
      </c>
      <c r="S83" s="327">
        <f>Q83*0.95</f>
        <v>0</v>
      </c>
      <c r="T83" s="326" t="s">
        <v>180</v>
      </c>
      <c r="U83" s="328"/>
      <c r="V83" s="332">
        <f>IFERROR(V80/S80*S83,0)</f>
        <v>0</v>
      </c>
    </row>
    <row r="84" spans="2:22" ht="11.4" customHeight="1" thickTop="1" thickBot="1" x14ac:dyDescent="0.25">
      <c r="B84" s="325" t="s">
        <v>238</v>
      </c>
      <c r="C84" s="326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  <c r="Q84" s="343">
        <v>0</v>
      </c>
      <c r="R84" s="327" t="s">
        <v>195</v>
      </c>
      <c r="S84" s="327">
        <f>Q84*0.95</f>
        <v>0</v>
      </c>
      <c r="T84" s="326" t="s">
        <v>180</v>
      </c>
      <c r="U84" s="328"/>
      <c r="V84" s="332">
        <f>IFERROR(V80/S80*S84,0)</f>
        <v>0</v>
      </c>
    </row>
    <row r="85" spans="2:22" ht="11.4" customHeight="1" thickTop="1" x14ac:dyDescent="0.2">
      <c r="B85" s="325" t="s">
        <v>179</v>
      </c>
      <c r="C85" s="326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  <c r="Q85" s="328"/>
      <c r="R85" s="329"/>
      <c r="S85" s="329">
        <f>S81+S78-S82</f>
        <v>0</v>
      </c>
      <c r="T85" s="326" t="s">
        <v>180</v>
      </c>
      <c r="U85" s="328"/>
      <c r="V85" s="332">
        <f>IFERROR(V78/S78*S85,0)</f>
        <v>0</v>
      </c>
    </row>
    <row r="86" spans="2:22" ht="11.4" customHeight="1" thickBot="1" x14ac:dyDescent="0.25">
      <c r="B86" s="333" t="s">
        <v>153</v>
      </c>
      <c r="C86" s="334"/>
      <c r="D86" s="335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6">
        <f>S83+Q80-S84</f>
        <v>0</v>
      </c>
      <c r="R86" s="334" t="s">
        <v>195</v>
      </c>
      <c r="S86" s="337">
        <f>Q86*0.95</f>
        <v>0</v>
      </c>
      <c r="T86" s="334" t="s">
        <v>180</v>
      </c>
      <c r="U86" s="337"/>
      <c r="V86" s="338">
        <f>IFERROR(V80/S80*S86,0)</f>
        <v>0</v>
      </c>
    </row>
    <row r="87" spans="2:22" ht="11.4" customHeight="1" thickBot="1" x14ac:dyDescent="0.25">
      <c r="B87" s="247" t="s">
        <v>196</v>
      </c>
      <c r="C87" s="144"/>
      <c r="D87" s="248"/>
      <c r="E87" s="144"/>
      <c r="F87" s="248"/>
      <c r="G87" s="249"/>
      <c r="H87" s="250"/>
      <c r="I87" s="249"/>
      <c r="J87" s="250"/>
      <c r="K87" s="249"/>
      <c r="L87" s="250"/>
      <c r="M87" s="249"/>
      <c r="N87" s="250"/>
      <c r="O87" s="250" t="s">
        <v>165</v>
      </c>
      <c r="P87" s="250"/>
      <c r="Q87" s="251">
        <v>0</v>
      </c>
      <c r="R87" s="144" t="s">
        <v>195</v>
      </c>
      <c r="S87" s="252" t="str">
        <f>IF(Q87&gt;=((S80/0.95)/2),"MEGFELELŐ A TÁROLÓ MÉRETE","KICSI A TÁROLÓ MÉRETE!!!")</f>
        <v>MEGFELELŐ A TÁROLÓ MÉRETE</v>
      </c>
      <c r="T87" s="253"/>
      <c r="U87" s="144"/>
      <c r="V87" s="254"/>
    </row>
    <row r="88" spans="2:22" ht="11.4" customHeight="1" thickTop="1" thickBot="1" x14ac:dyDescent="0.25">
      <c r="B88" s="163" t="s">
        <v>183</v>
      </c>
      <c r="C88" s="255"/>
      <c r="D88" s="192"/>
      <c r="E88" s="255"/>
      <c r="F88" s="192"/>
      <c r="G88" s="256"/>
      <c r="H88" s="257"/>
      <c r="I88" s="256"/>
      <c r="J88" s="257"/>
      <c r="K88" s="256"/>
      <c r="L88" s="257"/>
      <c r="M88" s="256"/>
      <c r="N88" s="257"/>
      <c r="O88" s="257" t="s">
        <v>165</v>
      </c>
      <c r="P88" s="257"/>
      <c r="Q88" s="258">
        <v>0</v>
      </c>
      <c r="R88" s="255" t="s">
        <v>180</v>
      </c>
      <c r="S88" s="259" t="str">
        <f>IF(Q88&gt;=(S78/2),"MEGFELELŐ A TÁROLÓ MÉRETE","KICSI A TÁROLÓ MÉRETE!!!")</f>
        <v>MEGFELELŐ A TÁROLÓ MÉRETE</v>
      </c>
      <c r="T88" s="260"/>
      <c r="U88" s="255"/>
      <c r="V88" s="261"/>
    </row>
    <row r="89" spans="2:22" ht="11.4" customHeight="1" x14ac:dyDescent="0.2">
      <c r="B89" s="154" t="s">
        <v>186</v>
      </c>
      <c r="C89" s="166"/>
      <c r="D89" s="186"/>
      <c r="E89" s="166"/>
      <c r="F89" s="186"/>
      <c r="G89" s="166"/>
      <c r="H89" s="186"/>
      <c r="I89" s="166"/>
      <c r="J89" s="186"/>
      <c r="K89" s="166"/>
      <c r="L89" s="186"/>
      <c r="M89" s="166"/>
      <c r="N89" s="186"/>
      <c r="O89" s="166"/>
      <c r="P89" s="186"/>
      <c r="Q89" s="262"/>
      <c r="R89" s="263"/>
      <c r="S89" s="263">
        <f>V85/170</f>
        <v>0</v>
      </c>
      <c r="T89" s="166" t="s">
        <v>56</v>
      </c>
      <c r="U89" s="166"/>
      <c r="V89" s="264"/>
    </row>
    <row r="90" spans="2:22" ht="11.4" customHeight="1" x14ac:dyDescent="0.2">
      <c r="B90" s="154" t="s">
        <v>197</v>
      </c>
      <c r="C90" s="166"/>
      <c r="D90" s="186"/>
      <c r="E90" s="166"/>
      <c r="F90" s="186"/>
      <c r="G90" s="166"/>
      <c r="H90" s="186"/>
      <c r="I90" s="166"/>
      <c r="J90" s="186"/>
      <c r="K90" s="166"/>
      <c r="L90" s="186"/>
      <c r="M90" s="166"/>
      <c r="N90" s="186"/>
      <c r="O90" s="166"/>
      <c r="P90" s="186"/>
      <c r="Q90" s="166"/>
      <c r="R90" s="263"/>
      <c r="S90" s="265">
        <f>IFERROR(S85/S89,0)</f>
        <v>0</v>
      </c>
      <c r="T90" s="266" t="s">
        <v>57</v>
      </c>
      <c r="U90" s="166"/>
      <c r="V90" s="264"/>
    </row>
    <row r="91" spans="2:22" ht="11.4" customHeight="1" thickBot="1" x14ac:dyDescent="0.25">
      <c r="B91" s="184" t="s">
        <v>58</v>
      </c>
      <c r="C91" s="185"/>
      <c r="D91" s="190"/>
      <c r="E91" s="185"/>
      <c r="F91" s="190"/>
      <c r="G91" s="185"/>
      <c r="H91" s="190"/>
      <c r="I91" s="185"/>
      <c r="J91" s="190"/>
      <c r="K91" s="185"/>
      <c r="L91" s="190"/>
      <c r="M91" s="185"/>
      <c r="N91" s="190"/>
      <c r="O91" s="185"/>
      <c r="P91" s="190"/>
      <c r="Q91" s="185"/>
      <c r="R91" s="267"/>
      <c r="S91" s="267"/>
      <c r="T91" s="185"/>
      <c r="U91" s="185"/>
      <c r="V91" s="268"/>
    </row>
    <row r="92" spans="2:22" ht="11.4" customHeight="1" thickTop="1" thickBot="1" x14ac:dyDescent="0.25">
      <c r="B92" s="154" t="s">
        <v>59</v>
      </c>
      <c r="C92" s="186"/>
      <c r="D92" s="186"/>
      <c r="E92" s="166"/>
      <c r="F92" s="186"/>
      <c r="G92" s="166"/>
      <c r="H92" s="186"/>
      <c r="I92" s="166"/>
      <c r="J92" s="186"/>
      <c r="K92" s="166"/>
      <c r="L92" s="186"/>
      <c r="M92" s="166"/>
      <c r="N92" s="186"/>
      <c r="O92" s="166"/>
      <c r="P92" s="186"/>
      <c r="Q92" s="166"/>
      <c r="R92" s="263"/>
      <c r="S92" s="291">
        <v>3.6044</v>
      </c>
      <c r="T92" s="187" t="s">
        <v>60</v>
      </c>
      <c r="U92" s="186"/>
      <c r="V92" s="264"/>
    </row>
    <row r="93" spans="2:22" ht="11.4" customHeight="1" thickTop="1" x14ac:dyDescent="0.2">
      <c r="B93" s="154" t="s">
        <v>61</v>
      </c>
      <c r="C93" s="269"/>
      <c r="D93" s="186" t="str">
        <f>CONCATENATE(ROUND(S85,2)," t ",B85," esetén")</f>
        <v>0 t FELHASZNÁLT ISTÁLLÓTRÁGYA esetén</v>
      </c>
      <c r="E93" s="166"/>
      <c r="F93" s="186"/>
      <c r="G93" s="166"/>
      <c r="H93" s="186"/>
      <c r="I93" s="166"/>
      <c r="J93" s="186"/>
      <c r="K93" s="166"/>
      <c r="L93" s="186"/>
      <c r="M93" s="166"/>
      <c r="N93" s="186"/>
      <c r="O93" s="166"/>
      <c r="P93" s="186"/>
      <c r="Q93" s="270">
        <f>IFERROR((S93*Q78),0)</f>
        <v>0</v>
      </c>
      <c r="R93" s="271" t="s">
        <v>182</v>
      </c>
      <c r="S93" s="272">
        <f>IFERROR(S85/S92,0)</f>
        <v>0</v>
      </c>
      <c r="T93" s="188" t="s">
        <v>62</v>
      </c>
      <c r="U93" s="189" t="str">
        <f>IF(S93&gt;S90," SOK!!!","MEGENGEDETT")</f>
        <v>MEGENGEDETT</v>
      </c>
      <c r="V93" s="264"/>
    </row>
    <row r="94" spans="2:22" ht="11.4" customHeight="1" thickBot="1" x14ac:dyDescent="0.25">
      <c r="B94" s="184" t="s">
        <v>63</v>
      </c>
      <c r="C94" s="190"/>
      <c r="D94" s="190"/>
      <c r="E94" s="185"/>
      <c r="F94" s="190"/>
      <c r="G94" s="185"/>
      <c r="H94" s="190"/>
      <c r="I94" s="185"/>
      <c r="J94" s="190"/>
      <c r="K94" s="185"/>
      <c r="L94" s="190"/>
      <c r="M94" s="185"/>
      <c r="N94" s="190"/>
      <c r="O94" s="185"/>
      <c r="P94" s="190"/>
      <c r="Q94" s="185"/>
      <c r="R94" s="267"/>
      <c r="S94" s="267"/>
      <c r="T94" s="185"/>
      <c r="U94" s="191"/>
      <c r="V94" s="268"/>
    </row>
    <row r="95" spans="2:22" ht="15.75" customHeight="1" thickTop="1" thickBot="1" x14ac:dyDescent="0.25">
      <c r="B95" s="154" t="s">
        <v>64</v>
      </c>
      <c r="C95" s="186"/>
      <c r="D95" s="186"/>
      <c r="E95" s="186"/>
      <c r="F95" s="166"/>
      <c r="G95" s="186"/>
      <c r="H95" s="186"/>
      <c r="I95" s="166"/>
      <c r="J95" s="186"/>
      <c r="K95" s="166"/>
      <c r="L95" s="186"/>
      <c r="M95" s="166"/>
      <c r="N95" s="186"/>
      <c r="O95" s="166"/>
      <c r="P95" s="186"/>
      <c r="Q95" s="143">
        <f>IFERROR((S95*Q78),0)</f>
        <v>0</v>
      </c>
      <c r="R95" s="273" t="s">
        <v>182</v>
      </c>
      <c r="S95" s="291">
        <v>19</v>
      </c>
      <c r="T95" s="187" t="s">
        <v>57</v>
      </c>
      <c r="U95" s="189" t="str">
        <f>IF(S95&gt;S90," SOK!!!"," MEGENGEDETT")</f>
        <v xml:space="preserve"> SOK!!!</v>
      </c>
      <c r="V95" s="264"/>
    </row>
    <row r="96" spans="2:22" ht="15.75" customHeight="1" thickTop="1" thickBot="1" x14ac:dyDescent="0.25">
      <c r="B96" s="340" t="s">
        <v>65</v>
      </c>
      <c r="C96" s="341"/>
      <c r="D96" s="342" t="str">
        <f>CONCATENATE(ROUND(S85,2)," t ",B85," esetén")</f>
        <v>0 t FELHASZNÁLT ISTÁLLÓTRÁGYA esetén</v>
      </c>
      <c r="E96" s="255"/>
      <c r="F96" s="192"/>
      <c r="G96" s="255"/>
      <c r="H96" s="192"/>
      <c r="I96" s="255"/>
      <c r="J96" s="192"/>
      <c r="K96" s="255"/>
      <c r="L96" s="192"/>
      <c r="M96" s="255"/>
      <c r="N96" s="192"/>
      <c r="O96" s="255"/>
      <c r="P96" s="192"/>
      <c r="Q96" s="255"/>
      <c r="R96" s="260"/>
      <c r="S96" s="272">
        <f>IFERROR(S85/S95,0)</f>
        <v>0</v>
      </c>
      <c r="T96" s="188" t="s">
        <v>56</v>
      </c>
      <c r="U96" s="186"/>
      <c r="V96" s="264"/>
    </row>
    <row r="97" spans="2:22" ht="11.4" customHeight="1" thickTop="1" thickBot="1" x14ac:dyDescent="0.25">
      <c r="B97" s="345" t="s">
        <v>228</v>
      </c>
      <c r="C97" s="346"/>
      <c r="D97" s="347"/>
      <c r="E97" s="346"/>
      <c r="F97" s="347"/>
      <c r="G97" s="348"/>
      <c r="H97" s="349"/>
      <c r="I97" s="348"/>
      <c r="J97" s="349"/>
      <c r="K97" s="348"/>
      <c r="L97" s="349"/>
      <c r="M97" s="348"/>
      <c r="N97" s="349"/>
      <c r="O97" s="166"/>
      <c r="P97" s="263"/>
      <c r="Q97" s="265">
        <f>IFERROR(V86/O98,0)</f>
        <v>0</v>
      </c>
      <c r="R97" s="166" t="s">
        <v>56</v>
      </c>
      <c r="S97" s="275"/>
      <c r="T97" s="185"/>
      <c r="U97" s="267"/>
      <c r="V97" s="276"/>
    </row>
    <row r="98" spans="2:22" ht="14.4" customHeight="1" thickTop="1" x14ac:dyDescent="0.2">
      <c r="B98" s="345" t="s">
        <v>229</v>
      </c>
      <c r="C98" s="346"/>
      <c r="D98" s="347"/>
      <c r="E98" s="346"/>
      <c r="F98" s="347"/>
      <c r="G98" s="348"/>
      <c r="H98" s="349"/>
      <c r="I98" s="348"/>
      <c r="J98" s="349"/>
      <c r="K98" s="348"/>
      <c r="L98" s="348"/>
      <c r="M98" s="348"/>
      <c r="N98" s="349"/>
      <c r="O98" s="277">
        <v>170</v>
      </c>
      <c r="P98" s="274" t="s">
        <v>152</v>
      </c>
      <c r="Q98" s="265">
        <f>IFERROR(S86/Q97,0)</f>
        <v>0</v>
      </c>
      <c r="R98" s="278" t="s">
        <v>57</v>
      </c>
      <c r="S98" s="279">
        <f>IFERROR(Q86/Q97,0)</f>
        <v>0</v>
      </c>
      <c r="T98" s="280" t="s">
        <v>198</v>
      </c>
      <c r="U98" s="281"/>
      <c r="V98" s="282"/>
    </row>
    <row r="99" spans="2:22" ht="11.4" customHeight="1" thickBot="1" x14ac:dyDescent="0.25">
      <c r="B99" s="350" t="s">
        <v>58</v>
      </c>
      <c r="C99" s="351"/>
      <c r="D99" s="352"/>
      <c r="E99" s="351"/>
      <c r="F99" s="352"/>
      <c r="G99" s="353"/>
      <c r="H99" s="354"/>
      <c r="I99" s="353"/>
      <c r="J99" s="354"/>
      <c r="K99" s="353"/>
      <c r="L99" s="354"/>
      <c r="M99" s="353"/>
      <c r="N99" s="354"/>
      <c r="O99" s="185"/>
      <c r="P99" s="267"/>
      <c r="Q99" s="267"/>
      <c r="R99" s="185"/>
      <c r="S99" s="166"/>
      <c r="T99" s="166"/>
      <c r="U99" s="267"/>
      <c r="V99" s="283"/>
    </row>
    <row r="100" spans="2:22" ht="11.4" customHeight="1" thickTop="1" thickBot="1" x14ac:dyDescent="0.25">
      <c r="B100" s="345" t="s">
        <v>59</v>
      </c>
      <c r="C100" s="346"/>
      <c r="D100" s="347"/>
      <c r="E100" s="346"/>
      <c r="F100" s="347"/>
      <c r="G100" s="348"/>
      <c r="H100" s="349"/>
      <c r="I100" s="348"/>
      <c r="J100" s="349"/>
      <c r="K100" s="348"/>
      <c r="L100" s="349"/>
      <c r="M100" s="348"/>
      <c r="N100" s="349"/>
      <c r="O100" s="166"/>
      <c r="P100" s="263"/>
      <c r="Q100" s="263"/>
      <c r="R100" s="263"/>
      <c r="S100" s="291">
        <v>0</v>
      </c>
      <c r="T100" s="187" t="s">
        <v>60</v>
      </c>
      <c r="U100" s="189" t="str">
        <f>IF(O101&gt;O98," KICSI TERÜLET!!!","ELÉG TERÜLET")</f>
        <v>ELÉG TERÜLET</v>
      </c>
      <c r="V100" s="284"/>
    </row>
    <row r="101" spans="2:22" ht="11.4" customHeight="1" thickTop="1" thickBot="1" x14ac:dyDescent="0.25">
      <c r="B101" s="345" t="s">
        <v>61</v>
      </c>
      <c r="C101" s="346"/>
      <c r="D101" s="346"/>
      <c r="E101" s="346"/>
      <c r="F101" s="355" t="str">
        <f>CONCATENATE(ROUND(S86,2)," t ",B86," esetén")</f>
        <v>0 t FELHASZNÁLT HÍGTRÁGYA esetén</v>
      </c>
      <c r="G101" s="347"/>
      <c r="H101" s="349"/>
      <c r="I101" s="347"/>
      <c r="J101" s="349"/>
      <c r="K101" s="348"/>
      <c r="L101" s="349"/>
      <c r="M101" s="348"/>
      <c r="N101" s="349"/>
      <c r="O101" s="143">
        <f>IFERROR((Q101*U80),0)</f>
        <v>0</v>
      </c>
      <c r="P101" s="273" t="s">
        <v>182</v>
      </c>
      <c r="Q101" s="285">
        <f>IFERROR(S86/S100,0)</f>
        <v>0</v>
      </c>
      <c r="R101" s="286" t="s">
        <v>62</v>
      </c>
      <c r="S101" s="285">
        <f>IFERROR(Q86/S100,0)</f>
        <v>0</v>
      </c>
      <c r="T101" s="187" t="s">
        <v>198</v>
      </c>
      <c r="U101" s="189" t="str">
        <f>IF(O101&gt;O98," SOK!!!","MEGENGEDETT")</f>
        <v>MEGENGEDETT</v>
      </c>
      <c r="V101" s="284"/>
    </row>
    <row r="102" spans="2:22" ht="11.4" customHeight="1" thickTop="1" thickBot="1" x14ac:dyDescent="0.25">
      <c r="B102" s="350" t="s">
        <v>63</v>
      </c>
      <c r="C102" s="351"/>
      <c r="D102" s="352"/>
      <c r="E102" s="351"/>
      <c r="F102" s="352"/>
      <c r="G102" s="353"/>
      <c r="H102" s="354"/>
      <c r="I102" s="353"/>
      <c r="J102" s="354"/>
      <c r="K102" s="353"/>
      <c r="L102" s="354"/>
      <c r="M102" s="353"/>
      <c r="N102" s="354"/>
      <c r="O102" s="143"/>
      <c r="P102" s="267"/>
      <c r="Q102" s="263"/>
      <c r="R102" s="166"/>
      <c r="S102" s="185"/>
      <c r="T102" s="287"/>
      <c r="U102" s="288"/>
      <c r="V102" s="289"/>
    </row>
    <row r="103" spans="2:22" ht="11.4" customHeight="1" thickTop="1" thickBot="1" x14ac:dyDescent="0.25">
      <c r="B103" s="345" t="s">
        <v>64</v>
      </c>
      <c r="C103" s="347"/>
      <c r="D103" s="347"/>
      <c r="E103" s="347"/>
      <c r="F103" s="346"/>
      <c r="G103" s="349"/>
      <c r="H103" s="349"/>
      <c r="I103" s="348"/>
      <c r="J103" s="347"/>
      <c r="K103" s="348"/>
      <c r="L103" s="349"/>
      <c r="M103" s="348"/>
      <c r="N103" s="349"/>
      <c r="O103" s="143">
        <f>IFERROR((S103*U80),0)</f>
        <v>0</v>
      </c>
      <c r="P103" s="290" t="s">
        <v>182</v>
      </c>
      <c r="Q103" s="143">
        <f>IFERROR((S86/S103),0)</f>
        <v>0</v>
      </c>
      <c r="R103" s="290" t="s">
        <v>198</v>
      </c>
      <c r="S103" s="291">
        <v>0</v>
      </c>
      <c r="T103" s="187" t="s">
        <v>57</v>
      </c>
      <c r="U103" s="189" t="str">
        <f>IF(S103&gt;Q98," SOK!!!","MEGENGEDETT")</f>
        <v>MEGENGEDETT</v>
      </c>
      <c r="V103" s="284"/>
    </row>
    <row r="104" spans="2:22" ht="11.4" customHeight="1" thickTop="1" thickBot="1" x14ac:dyDescent="0.25">
      <c r="B104" s="345" t="s">
        <v>65</v>
      </c>
      <c r="C104" s="346"/>
      <c r="D104" s="347"/>
      <c r="E104" s="347"/>
      <c r="F104" s="355" t="str">
        <f>CONCATENATE(ROUND(S86,2)," t ",B86," esetén")</f>
        <v>0 t FELHASZNÁLT HÍGTRÁGYA esetén</v>
      </c>
      <c r="G104" s="347"/>
      <c r="H104" s="347"/>
      <c r="I104" s="347"/>
      <c r="J104" s="349"/>
      <c r="K104" s="348"/>
      <c r="L104" s="349"/>
      <c r="M104" s="348"/>
      <c r="N104" s="349"/>
      <c r="O104" s="166"/>
      <c r="P104" s="263"/>
      <c r="Q104" s="166"/>
      <c r="R104" s="263"/>
      <c r="S104" s="292">
        <f>IFERROR(Q86/S103,0)</f>
        <v>0</v>
      </c>
      <c r="T104" s="187" t="s">
        <v>56</v>
      </c>
      <c r="U104" s="263"/>
      <c r="V104" s="284"/>
    </row>
    <row r="105" spans="2:22" ht="15.75" customHeight="1" x14ac:dyDescent="0.2">
      <c r="B105" s="247" t="s">
        <v>191</v>
      </c>
      <c r="C105" s="144"/>
      <c r="D105" s="248"/>
      <c r="E105" s="144"/>
      <c r="F105" s="248"/>
      <c r="G105" s="249"/>
      <c r="H105" s="250"/>
      <c r="I105" s="249"/>
      <c r="J105" s="250"/>
      <c r="K105" s="249"/>
      <c r="L105" s="356"/>
      <c r="M105" s="357"/>
      <c r="N105" s="249"/>
      <c r="O105" s="249"/>
      <c r="P105" s="249"/>
      <c r="Q105" s="249"/>
      <c r="R105" s="249"/>
      <c r="S105" s="293">
        <f>V79/170</f>
        <v>0</v>
      </c>
      <c r="T105" s="294" t="s">
        <v>56</v>
      </c>
      <c r="U105" s="288"/>
      <c r="V105" s="289"/>
    </row>
    <row r="106" spans="2:22" ht="15.75" customHeight="1" thickBot="1" x14ac:dyDescent="0.25">
      <c r="B106" s="163" t="s">
        <v>192</v>
      </c>
      <c r="C106" s="192"/>
      <c r="D106" s="192"/>
      <c r="E106" s="192"/>
      <c r="F106" s="255"/>
      <c r="G106" s="257"/>
      <c r="H106" s="257"/>
      <c r="I106" s="256"/>
      <c r="J106" s="192"/>
      <c r="K106" s="256"/>
      <c r="L106" s="257"/>
      <c r="M106" s="256"/>
      <c r="N106" s="256"/>
      <c r="O106" s="256"/>
      <c r="P106" s="256"/>
      <c r="Q106" s="256"/>
      <c r="R106" s="256"/>
      <c r="S106" s="295">
        <f>V79/120</f>
        <v>0</v>
      </c>
      <c r="T106" s="296" t="s">
        <v>56</v>
      </c>
      <c r="U106" s="193"/>
      <c r="V106" s="297"/>
    </row>
    <row r="108" spans="2:22" ht="15.75" customHeight="1" x14ac:dyDescent="0.2">
      <c r="B108" s="300" t="s">
        <v>155</v>
      </c>
      <c r="C108" s="300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  <c r="S108" s="301"/>
      <c r="T108" s="300"/>
      <c r="U108" s="300"/>
      <c r="V108" s="302"/>
    </row>
    <row r="109" spans="2:22" ht="15.75" customHeight="1" x14ac:dyDescent="0.2">
      <c r="B109" s="300" t="s">
        <v>167</v>
      </c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1"/>
      <c r="T109" s="300"/>
      <c r="U109" s="300"/>
      <c r="V109" s="302"/>
    </row>
    <row r="110" spans="2:22" ht="15.75" customHeight="1" x14ac:dyDescent="0.2">
      <c r="B110" s="300" t="s">
        <v>194</v>
      </c>
      <c r="C110" s="300"/>
      <c r="D110" s="300"/>
      <c r="E110" s="300"/>
      <c r="F110" s="300"/>
      <c r="G110" s="300"/>
      <c r="H110" s="300"/>
      <c r="I110" s="300"/>
      <c r="J110" s="300"/>
      <c r="K110" s="300"/>
      <c r="L110" s="300"/>
      <c r="M110" s="300"/>
      <c r="N110" s="300"/>
      <c r="O110" s="300"/>
      <c r="P110" s="300"/>
      <c r="Q110" s="300"/>
      <c r="R110" s="300"/>
      <c r="S110" s="301"/>
      <c r="T110" s="300"/>
      <c r="U110" s="300"/>
      <c r="V110" s="302"/>
    </row>
    <row r="111" spans="2:22" ht="15.75" customHeight="1" x14ac:dyDescent="0.2">
      <c r="B111" s="300" t="s">
        <v>168</v>
      </c>
      <c r="C111" s="300"/>
      <c r="D111" s="300"/>
      <c r="E111" s="300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1"/>
      <c r="T111" s="300"/>
      <c r="U111" s="300"/>
      <c r="V111" s="302"/>
    </row>
    <row r="112" spans="2:22" ht="15.75" customHeight="1" x14ac:dyDescent="0.2">
      <c r="B112" s="194" t="s">
        <v>193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300"/>
      <c r="P112" s="300"/>
      <c r="Q112" s="300"/>
      <c r="R112" s="300"/>
      <c r="S112" s="301"/>
      <c r="T112" s="300"/>
      <c r="U112" s="300"/>
      <c r="V112" s="302"/>
    </row>
    <row r="113" spans="2:22" ht="15.75" customHeight="1" x14ac:dyDescent="0.2">
      <c r="B113" s="300" t="s">
        <v>157</v>
      </c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1"/>
      <c r="T113" s="300"/>
      <c r="U113" s="300"/>
      <c r="V113" s="302"/>
    </row>
    <row r="114" spans="2:22" ht="15.75" customHeight="1" x14ac:dyDescent="0.2">
      <c r="B114" s="303"/>
      <c r="C114" s="300"/>
      <c r="D114" s="300"/>
      <c r="E114" s="300"/>
      <c r="F114" s="300"/>
      <c r="G114" s="300"/>
      <c r="H114" s="300"/>
      <c r="I114" s="300"/>
      <c r="J114" s="300"/>
      <c r="K114" s="300"/>
      <c r="L114" s="300"/>
      <c r="M114" s="300"/>
      <c r="N114" s="300"/>
      <c r="O114" s="300"/>
      <c r="P114" s="300"/>
      <c r="Q114" s="300"/>
      <c r="R114" s="300"/>
      <c r="S114" s="301"/>
      <c r="T114" s="300"/>
      <c r="U114" s="300"/>
      <c r="V114" s="302"/>
    </row>
    <row r="115" spans="2:22" ht="15.75" customHeight="1" x14ac:dyDescent="0.2">
      <c r="B115" s="300" t="s">
        <v>160</v>
      </c>
      <c r="C115" s="300"/>
      <c r="D115" s="300"/>
      <c r="E115" s="300"/>
      <c r="F115" s="300"/>
      <c r="G115" s="300"/>
      <c r="H115" s="300"/>
      <c r="I115" s="300"/>
      <c r="J115" s="300"/>
      <c r="K115" s="300"/>
      <c r="L115" s="300"/>
      <c r="M115" s="300"/>
      <c r="N115" s="300"/>
      <c r="O115" s="300"/>
      <c r="P115" s="300"/>
      <c r="Q115" s="300"/>
      <c r="R115" s="300"/>
      <c r="S115" s="301"/>
      <c r="T115" s="300"/>
      <c r="U115" s="300"/>
      <c r="V115" s="302"/>
    </row>
    <row r="116" spans="2:22" ht="15.75" customHeight="1" x14ac:dyDescent="0.2">
      <c r="B116" s="304"/>
      <c r="C116" s="304"/>
      <c r="D116" s="304"/>
      <c r="E116" s="304"/>
      <c r="F116" s="304"/>
      <c r="G116" s="304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5"/>
      <c r="T116" s="304"/>
      <c r="U116" s="304"/>
      <c r="V116" s="306"/>
    </row>
    <row r="117" spans="2:22" ht="15.75" customHeight="1" x14ac:dyDescent="0.2"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5"/>
      <c r="T117" s="304"/>
      <c r="U117" s="304"/>
      <c r="V117" s="306"/>
    </row>
    <row r="118" spans="2:22" ht="15.75" customHeight="1" x14ac:dyDescent="0.2"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5"/>
      <c r="T118" s="304"/>
      <c r="U118" s="304"/>
      <c r="V118" s="306"/>
    </row>
  </sheetData>
  <sheetProtection sheet="1" formatCells="0" formatColumns="0" formatRows="0" insertColumns="0" insertRows="0" insertHyperlinks="0" deleteColumns="0" deleteRows="0" selectLockedCells="1" sort="0" autoFilter="0" pivotTables="0"/>
  <autoFilter ref="B4:V106" xr:uid="{00000000-0009-0000-0000-000000000000}"/>
  <mergeCells count="8">
    <mergeCell ref="A49:A55"/>
    <mergeCell ref="A57:A68"/>
    <mergeCell ref="A70:A72"/>
    <mergeCell ref="B3:B4"/>
    <mergeCell ref="A5:A11"/>
    <mergeCell ref="A13:A15"/>
    <mergeCell ref="A16:A39"/>
    <mergeCell ref="A41:A47"/>
  </mergeCells>
  <conditionalFormatting sqref="Q101:R101">
    <cfRule type="iconSet" priority="27">
      <iconSet iconSet="3Flags">
        <cfvo type="percent" val="0"/>
        <cfvo type="percent" val="33"/>
        <cfvo type="percent" val="67"/>
      </iconSet>
    </cfRule>
  </conditionalFormatting>
  <conditionalFormatting sqref="S93">
    <cfRule type="iconSet" priority="38">
      <iconSet iconSet="3Flags" reverse="1">
        <cfvo type="percent" val="0"/>
        <cfvo type="num" val="0" gte="0"/>
        <cfvo type="num" val="$S$90" gte="0"/>
      </iconSet>
    </cfRule>
    <cfRule type="iconSet" priority="39">
      <iconSet iconSet="3Flags">
        <cfvo type="percent" val="0"/>
        <cfvo type="percent" val="33"/>
        <cfvo type="percent" val="67"/>
      </iconSet>
    </cfRule>
    <cfRule type="cellIs" dxfId="13" priority="40" stopIfTrue="1" operator="lessThan">
      <formula>$S$90</formula>
    </cfRule>
    <cfRule type="cellIs" dxfId="12" priority="41" stopIfTrue="1" operator="equal">
      <formula>$S$90</formula>
    </cfRule>
    <cfRule type="cellIs" dxfId="11" priority="42" stopIfTrue="1" operator="greaterThan">
      <formula>$S$90</formula>
    </cfRule>
  </conditionalFormatting>
  <conditionalFormatting sqref="T92">
    <cfRule type="iconSet" priority="35">
      <iconSet iconSet="3Flags">
        <cfvo type="percent" val="0"/>
        <cfvo type="num" val="$S$89"/>
        <cfvo type="num" val="$S$89" gte="0"/>
      </iconSet>
    </cfRule>
    <cfRule type="iconSet" priority="36">
      <iconSet iconSet="3Flags" reverse="1">
        <cfvo type="percent" val="0"/>
        <cfvo type="num" val="$S$89"/>
        <cfvo type="num" val="$S$89" gte="0"/>
      </iconSet>
    </cfRule>
    <cfRule type="iconSet" priority="37">
      <iconSet iconSet="3Flags" reverse="1">
        <cfvo type="percent" val="0"/>
        <cfvo type="num" val="0" gte="0"/>
        <cfvo type="num" val="$S$90"/>
      </iconSet>
    </cfRule>
  </conditionalFormatting>
  <conditionalFormatting sqref="T95">
    <cfRule type="iconSet" priority="32">
      <iconSet iconSet="3Flags">
        <cfvo type="percent" val="0"/>
        <cfvo type="num" val="$S$89"/>
        <cfvo type="num" val="$S$89" gte="0"/>
      </iconSet>
    </cfRule>
    <cfRule type="iconSet" priority="33">
      <iconSet iconSet="3Flags" reverse="1">
        <cfvo type="percent" val="0"/>
        <cfvo type="num" val="$S$89"/>
        <cfvo type="num" val="$S$89" gte="0"/>
      </iconSet>
    </cfRule>
    <cfRule type="iconSet" priority="34">
      <iconSet iconSet="3Flags" reverse="1">
        <cfvo type="percent" val="0"/>
        <cfvo type="num" val="0" gte="0"/>
        <cfvo type="num" val="$S$90"/>
      </iconSet>
    </cfRule>
  </conditionalFormatting>
  <conditionalFormatting sqref="T100">
    <cfRule type="iconSet" priority="10">
      <iconSet iconSet="3Flags">
        <cfvo type="percent" val="0"/>
        <cfvo type="num" val="$S$89"/>
        <cfvo type="num" val="$S$89" gte="0"/>
      </iconSet>
    </cfRule>
    <cfRule type="iconSet" priority="11">
      <iconSet iconSet="3Flags" reverse="1">
        <cfvo type="percent" val="0"/>
        <cfvo type="num" val="$S$89"/>
        <cfvo type="num" val="$S$89" gte="0"/>
      </iconSet>
    </cfRule>
    <cfRule type="iconSet" priority="12">
      <iconSet iconSet="3Flags" reverse="1">
        <cfvo type="percent" val="0"/>
        <cfvo type="num" val="0" gte="0"/>
        <cfvo type="num" val="$S$90"/>
      </iconSet>
    </cfRule>
  </conditionalFormatting>
  <conditionalFormatting sqref="T101">
    <cfRule type="iconSet" priority="7">
      <iconSet iconSet="3Flags">
        <cfvo type="percent" val="0"/>
        <cfvo type="num" val="$S$89"/>
        <cfvo type="num" val="$S$89" gte="0"/>
      </iconSet>
    </cfRule>
    <cfRule type="iconSet" priority="8">
      <iconSet iconSet="3Flags" reverse="1">
        <cfvo type="percent" val="0"/>
        <cfvo type="num" val="$S$89"/>
        <cfvo type="num" val="$S$89" gte="0"/>
      </iconSet>
    </cfRule>
    <cfRule type="iconSet" priority="9">
      <iconSet iconSet="3Flags" reverse="1">
        <cfvo type="percent" val="0"/>
        <cfvo type="num" val="0" gte="0"/>
        <cfvo type="num" val="$S$90"/>
      </iconSet>
    </cfRule>
  </conditionalFormatting>
  <conditionalFormatting sqref="T103">
    <cfRule type="iconSet" priority="4">
      <iconSet iconSet="3Flags">
        <cfvo type="percent" val="0"/>
        <cfvo type="num" val="$S$89"/>
        <cfvo type="num" val="$S$89" gte="0"/>
      </iconSet>
    </cfRule>
    <cfRule type="iconSet" priority="5">
      <iconSet iconSet="3Flags" reverse="1">
        <cfvo type="percent" val="0"/>
        <cfvo type="num" val="$S$89"/>
        <cfvo type="num" val="$S$89" gte="0"/>
      </iconSet>
    </cfRule>
    <cfRule type="iconSet" priority="6">
      <iconSet iconSet="3Flags" reverse="1">
        <cfvo type="percent" val="0"/>
        <cfvo type="num" val="0" gte="0"/>
        <cfvo type="num" val="$S$90"/>
      </iconSet>
    </cfRule>
  </conditionalFormatting>
  <conditionalFormatting sqref="T104">
    <cfRule type="iconSet" priority="2">
      <iconSet iconSet="3Flags" reverse="1">
        <cfvo type="percent" val="0"/>
        <cfvo type="num" val="$S$89"/>
        <cfvo type="num" val="$S$89" gte="0"/>
      </iconSet>
    </cfRule>
    <cfRule type="iconSet" priority="3">
      <iconSet iconSet="3Flags" reverse="1">
        <cfvo type="percent" val="0"/>
        <cfvo type="num" val="0" gte="0"/>
        <cfvo type="num" val="$S$90"/>
      </iconSet>
    </cfRule>
    <cfRule type="iconSet" priority="1">
      <iconSet iconSet="3Flags">
        <cfvo type="percent" val="0"/>
        <cfvo type="num" val="$S$89"/>
        <cfvo type="num" val="$S$89" gte="0"/>
      </iconSet>
    </cfRule>
  </conditionalFormatting>
  <pageMargins left="3.937007874015748E-2" right="3.937007874015748E-2" top="7.874015748031496E-2" bottom="0.19685039370078741" header="0" footer="0"/>
  <pageSetup paperSize="9" orientation="landscape" r:id="rId1"/>
  <rowBreaks count="2" manualBreakCount="2">
    <brk id="48" max="16383" man="1"/>
    <brk id="88" max="16383" man="1"/>
  </rowBreaks>
  <ignoredErrors>
    <ignoredError sqref="V83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lessThanOrEqual" id="{27D22E9F-A89D-472E-8DEF-CB47E12E5DE3}">
            <xm:f>'hígtrágyás sertéstelep'!$S$26</xm:f>
            <x14:dxf>
              <fill>
                <patternFill>
                  <bgColor rgb="FF92D050"/>
                </patternFill>
              </fill>
            </x14:dxf>
          </x14:cfRule>
          <x14:cfRule type="iconSet" priority="17" id="{C00D6298-0862-487F-A14B-4ABAC11697E8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 gte="0">
                <xm:f>'hígtrágyás sertéstelep'!$S$26</xm:f>
              </x14:cfvo>
            </x14:iconSet>
          </x14:cfRule>
          <xm:sqref>Q101:R101</xm:sqref>
        </x14:conditionalFormatting>
        <x14:conditionalFormatting xmlns:xm="http://schemas.microsoft.com/office/excel/2006/main">
          <x14:cfRule type="iconSet" priority="14" id="{BD1334D4-5D10-4660-B6A7-911337339647}">
            <x14:iconSet iconSet="3Flags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15" id="{626CBB46-47A8-48A7-8B34-0A85B25212E5}">
            <x14:iconSet iconSet="3Flags" reverse="1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16" id="{AB77BC90-213E-401F-8413-BA9F8413B31D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>
                <xm:f>'hígtrágyás sertéstelep'!$S$26</xm:f>
              </x14:cfvo>
            </x14:iconSet>
          </x14:cfRule>
          <xm:sqref>R100</xm:sqref>
        </x14:conditionalFormatting>
        <x14:conditionalFormatting xmlns:xm="http://schemas.microsoft.com/office/excel/2006/main">
          <x14:cfRule type="expression" priority="21" id="{CA0C1872-E8C4-4986-96A6-814E209E79DD}">
            <xm:f>'hígtrágyás sertéstelep'!$Q$24&gt;='hígtrágyás sertéstelep'!$T$20/2</xm:f>
            <x14:dxf>
              <font>
                <b/>
                <i val="0"/>
                <strike val="0"/>
                <color rgb="FF00B050"/>
              </font>
            </x14:dxf>
          </x14:cfRule>
          <x14:cfRule type="expression" priority="20" id="{C2F8F665-1781-4A0E-9A20-76656A063FB2}">
            <xm:f>'hígtrágyás sertéstelep'!$Q$24&lt;'hígtrágyás sertéstelep'!$T$20/2</xm:f>
            <x14:dxf>
              <font>
                <b/>
                <i val="0"/>
                <strike val="0"/>
                <u val="double"/>
                <color rgb="FFC0000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S87:S88</xm:sqref>
        </x14:conditionalFormatting>
        <x14:conditionalFormatting xmlns:xm="http://schemas.microsoft.com/office/excel/2006/main">
          <x14:cfRule type="iconSet" priority="13" id="{6163E938-6051-401E-8FA6-4F402EC9F885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 gte="0">
                <xm:f>'hígtrágyás sertéstelep'!$S$26</xm:f>
              </x14:cfvo>
            </x14:iconSet>
          </x14:cfRule>
          <x14:cfRule type="iconSet" priority="43" id="{58D9D5C9-6742-41A7-9C0E-40EEEBD37B6A}">
            <x14:iconSet iconSet="3Flags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43" id="{A48195B3-C2F7-4EB8-A491-FF4447266516}">
            <x14:iconSet iconSet="3Flags" reverse="1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43" id="{48F96E5A-78F6-452D-9118-7B440C10DDB3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>
                <xm:f>'hígtrágyás sertéstelep'!$S$26</xm:f>
              </x14:cfvo>
            </x14:iconSet>
          </x14:cfRule>
          <xm:sqref>T103</xm:sqref>
        </x14:conditionalFormatting>
        <x14:conditionalFormatting xmlns:xm="http://schemas.microsoft.com/office/excel/2006/main">
          <x14:cfRule type="expression" priority="44" id="{9A3B6651-905B-488A-BED5-CF351D970DFA}">
            <xm:f>'hígtrágyás sertéstelep'!$S$26&lt;'hígtrágyás sertéstelep'!$S$29</xm:f>
            <x14:dxf>
              <font>
                <b/>
                <i val="0"/>
                <strike val="0"/>
                <u val="double"/>
                <color rgb="FFC00000"/>
              </font>
            </x14:dxf>
          </x14:cfRule>
          <x14:cfRule type="expression" priority="44" id="{18D5CBC8-D98B-41CD-8369-C5E271DC2A47}">
            <xm:f>'hígtrágyás sertéstelep'!$S$26&gt;='hígtrágyás sertéstelep'!$S$29</xm:f>
            <x14:dxf>
              <font>
                <b/>
                <i val="0"/>
                <strike val="0"/>
                <color rgb="FF00B050"/>
              </font>
            </x14:dxf>
          </x14:cfRule>
          <xm:sqref>U100:U101</xm:sqref>
        </x14:conditionalFormatting>
        <x14:conditionalFormatting xmlns:xm="http://schemas.microsoft.com/office/excel/2006/main">
          <x14:cfRule type="expression" priority="45" id="{7DDAB173-A5A2-4CAD-AED7-BEBB3BE3AA36}">
            <xm:f>'hígtrágyás sertéstelep'!$S$31&lt;='hígtrágyás sertéstelep'!$S$26</xm:f>
            <x14:dxf>
              <font>
                <b/>
                <i val="0"/>
                <strike val="0"/>
                <color rgb="FF00B050"/>
              </font>
            </x14:dxf>
          </x14:cfRule>
          <x14:cfRule type="expression" priority="45" id="{6B4BD163-650E-42AE-B3BE-1E8AC780B2E4}">
            <xm:f>'hígtrágyás sertéstelep'!$S$31&gt;'hígtrágyás sertéstelep'!$S$26</xm:f>
            <x14:dxf>
              <font>
                <b/>
                <i val="0"/>
                <strike val="0"/>
                <u val="double"/>
                <color rgb="FFC00000"/>
              </font>
            </x14:dxf>
          </x14:cfRule>
          <xm:sqref>U103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W46"/>
  <sheetViews>
    <sheetView windowProtection="1" zoomScale="130" zoomScaleNormal="130" workbookViewId="0">
      <selection activeCell="I14" sqref="I14"/>
    </sheetView>
  </sheetViews>
  <sheetFormatPr defaultColWidth="9.109375" defaultRowHeight="15.75" customHeight="1" x14ac:dyDescent="0.25"/>
  <cols>
    <col min="1" max="1" width="3.88671875" style="13" customWidth="1"/>
    <col min="2" max="2" width="13.44140625" style="61" customWidth="1"/>
    <col min="3" max="3" width="3.5546875" style="62" customWidth="1"/>
    <col min="4" max="6" width="5.44140625" style="63" customWidth="1"/>
    <col min="7" max="16" width="5.44140625" style="77" customWidth="1"/>
    <col min="17" max="17" width="6.6640625" style="64" customWidth="1"/>
    <col min="18" max="18" width="6.109375" style="65" bestFit="1" customWidth="1"/>
    <col min="19" max="20" width="8" style="65" customWidth="1"/>
    <col min="21" max="21" width="5" style="62" customWidth="1"/>
    <col min="22" max="22" width="4.44140625" style="66" customWidth="1"/>
    <col min="23" max="23" width="9.88671875" style="65" customWidth="1"/>
    <col min="24" max="16384" width="9.109375" style="13"/>
  </cols>
  <sheetData>
    <row r="1" spans="1:23" ht="12.6" customHeight="1" x14ac:dyDescent="0.25">
      <c r="B1" s="61" t="s">
        <v>158</v>
      </c>
      <c r="C1" s="95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23" ht="12" customHeight="1" thickBot="1" x14ac:dyDescent="0.3">
      <c r="B2" s="61" t="s">
        <v>159</v>
      </c>
      <c r="C2" s="95"/>
      <c r="D2" s="93"/>
      <c r="E2" s="93"/>
      <c r="F2" s="96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23" s="78" customFormat="1" ht="10.95" customHeight="1" x14ac:dyDescent="0.25">
      <c r="A3" s="92"/>
      <c r="B3" s="407" t="s">
        <v>234</v>
      </c>
      <c r="C3" s="16"/>
      <c r="D3" s="14" t="s">
        <v>0</v>
      </c>
      <c r="E3" s="15"/>
      <c r="F3" s="15"/>
      <c r="G3" s="68"/>
      <c r="H3" s="68"/>
      <c r="I3" s="68"/>
      <c r="J3" s="68"/>
      <c r="K3" s="68"/>
      <c r="L3" s="68"/>
      <c r="M3" s="68"/>
      <c r="N3" s="68"/>
      <c r="O3" s="68"/>
      <c r="P3" s="69"/>
      <c r="Q3" s="16"/>
      <c r="R3" s="17"/>
      <c r="S3" s="17"/>
      <c r="T3" s="17"/>
      <c r="U3" s="16"/>
      <c r="V3" s="16"/>
      <c r="W3" s="17"/>
    </row>
    <row r="4" spans="1:23" s="18" customFormat="1" ht="33" customHeight="1" thickBot="1" x14ac:dyDescent="0.35">
      <c r="A4" s="84"/>
      <c r="B4" s="408"/>
      <c r="C4" s="94" t="s">
        <v>1</v>
      </c>
      <c r="D4" s="207" t="s">
        <v>6</v>
      </c>
      <c r="E4" s="146" t="s">
        <v>7</v>
      </c>
      <c r="F4" s="146" t="s">
        <v>8</v>
      </c>
      <c r="G4" s="307" t="s">
        <v>9</v>
      </c>
      <c r="H4" s="307" t="s">
        <v>10</v>
      </c>
      <c r="I4" s="307" t="s">
        <v>11</v>
      </c>
      <c r="J4" s="307" t="s">
        <v>12</v>
      </c>
      <c r="K4" s="307" t="s">
        <v>13</v>
      </c>
      <c r="L4" s="307" t="s">
        <v>2</v>
      </c>
      <c r="M4" s="307" t="s">
        <v>3</v>
      </c>
      <c r="N4" s="307" t="s">
        <v>4</v>
      </c>
      <c r="O4" s="307" t="s">
        <v>5</v>
      </c>
      <c r="P4" s="308" t="s">
        <v>227</v>
      </c>
      <c r="Q4" s="19" t="s">
        <v>14</v>
      </c>
      <c r="R4" s="20" t="s">
        <v>15</v>
      </c>
      <c r="S4" s="20" t="s">
        <v>16</v>
      </c>
      <c r="T4" s="22" t="s">
        <v>161</v>
      </c>
      <c r="U4" s="19" t="s">
        <v>17</v>
      </c>
      <c r="V4" s="21" t="s">
        <v>18</v>
      </c>
      <c r="W4" s="22" t="s">
        <v>19</v>
      </c>
    </row>
    <row r="5" spans="1:23" ht="11.4" customHeight="1" thickTop="1" thickBot="1" x14ac:dyDescent="0.3">
      <c r="A5" s="409" t="s">
        <v>123</v>
      </c>
      <c r="B5" s="32" t="s">
        <v>28</v>
      </c>
      <c r="C5" s="33" t="s">
        <v>29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0">
        <f t="shared" ref="Q5:Q19" si="0">(D5/2+E5+F5+G5+H5+I5+J5+K5+L5+M5+N5+O5+P5/2)/12</f>
        <v>0</v>
      </c>
      <c r="R5" s="34">
        <v>3.95</v>
      </c>
      <c r="S5" s="36">
        <f t="shared" ref="S5:S19" si="1">Q5*R5</f>
        <v>0</v>
      </c>
      <c r="T5" s="36">
        <f>S5/0.95</f>
        <v>0</v>
      </c>
      <c r="U5" s="35" t="s">
        <v>39</v>
      </c>
      <c r="V5" s="89">
        <v>4.2</v>
      </c>
      <c r="W5" s="85">
        <f t="shared" ref="W5:W19" si="2">S5*V5</f>
        <v>0</v>
      </c>
    </row>
    <row r="6" spans="1:23" ht="11.4" customHeight="1" thickTop="1" thickBot="1" x14ac:dyDescent="0.3">
      <c r="A6" s="405"/>
      <c r="B6" s="23" t="s">
        <v>30</v>
      </c>
      <c r="C6" s="24" t="s">
        <v>31</v>
      </c>
      <c r="D6" s="103"/>
      <c r="E6" s="70"/>
      <c r="F6" s="71"/>
      <c r="G6" s="70"/>
      <c r="H6" s="71"/>
      <c r="I6" s="70"/>
      <c r="J6" s="71"/>
      <c r="K6" s="70"/>
      <c r="L6" s="71"/>
      <c r="M6" s="70"/>
      <c r="N6" s="71"/>
      <c r="O6" s="70"/>
      <c r="P6" s="71"/>
      <c r="Q6" s="101">
        <f t="shared" si="0"/>
        <v>0</v>
      </c>
      <c r="R6" s="25">
        <v>0.94</v>
      </c>
      <c r="S6" s="27">
        <f t="shared" si="1"/>
        <v>0</v>
      </c>
      <c r="T6" s="36">
        <f t="shared" ref="T6:T14" si="3">S6/0.95</f>
        <v>0</v>
      </c>
      <c r="U6" s="37" t="s">
        <v>39</v>
      </c>
      <c r="V6" s="89">
        <v>2.35</v>
      </c>
      <c r="W6" s="86">
        <f t="shared" si="2"/>
        <v>0</v>
      </c>
    </row>
    <row r="7" spans="1:23" ht="11.4" customHeight="1" thickTop="1" thickBot="1" x14ac:dyDescent="0.3">
      <c r="A7" s="405"/>
      <c r="B7" s="23" t="s">
        <v>32</v>
      </c>
      <c r="C7" s="24" t="s">
        <v>33</v>
      </c>
      <c r="D7" s="103"/>
      <c r="E7" s="70"/>
      <c r="F7" s="71"/>
      <c r="G7" s="70"/>
      <c r="H7" s="71"/>
      <c r="I7" s="70"/>
      <c r="J7" s="71"/>
      <c r="K7" s="70"/>
      <c r="L7" s="71"/>
      <c r="M7" s="70"/>
      <c r="N7" s="71"/>
      <c r="O7" s="70"/>
      <c r="P7" s="71"/>
      <c r="Q7" s="101">
        <f t="shared" si="0"/>
        <v>0</v>
      </c>
      <c r="R7" s="25">
        <v>1.66</v>
      </c>
      <c r="S7" s="27">
        <f t="shared" si="1"/>
        <v>0</v>
      </c>
      <c r="T7" s="36">
        <f t="shared" si="3"/>
        <v>0</v>
      </c>
      <c r="U7" s="37" t="s">
        <v>39</v>
      </c>
      <c r="V7" s="89">
        <v>3.8</v>
      </c>
      <c r="W7" s="86">
        <f t="shared" si="2"/>
        <v>0</v>
      </c>
    </row>
    <row r="8" spans="1:23" ht="11.4" customHeight="1" thickTop="1" thickBot="1" x14ac:dyDescent="0.3">
      <c r="A8" s="405"/>
      <c r="B8" s="23" t="s">
        <v>34</v>
      </c>
      <c r="C8" s="24" t="s">
        <v>33</v>
      </c>
      <c r="D8" s="103"/>
      <c r="E8" s="70"/>
      <c r="F8" s="71"/>
      <c r="G8" s="70"/>
      <c r="H8" s="71"/>
      <c r="I8" s="70"/>
      <c r="J8" s="71"/>
      <c r="K8" s="70"/>
      <c r="L8" s="71"/>
      <c r="M8" s="70"/>
      <c r="N8" s="71"/>
      <c r="O8" s="70"/>
      <c r="P8" s="71"/>
      <c r="Q8" s="101">
        <f t="shared" si="0"/>
        <v>0</v>
      </c>
      <c r="R8" s="26">
        <v>1.66</v>
      </c>
      <c r="S8" s="27">
        <f t="shared" si="1"/>
        <v>0</v>
      </c>
      <c r="T8" s="36">
        <f t="shared" si="3"/>
        <v>0</v>
      </c>
      <c r="U8" s="37" t="s">
        <v>39</v>
      </c>
      <c r="V8" s="90">
        <v>3.8</v>
      </c>
      <c r="W8" s="86">
        <f t="shared" si="2"/>
        <v>0</v>
      </c>
    </row>
    <row r="9" spans="1:23" ht="11.4" customHeight="1" thickTop="1" thickBot="1" x14ac:dyDescent="0.3">
      <c r="A9" s="410"/>
      <c r="B9" s="28" t="s">
        <v>35</v>
      </c>
      <c r="C9" s="29" t="s">
        <v>36</v>
      </c>
      <c r="D9" s="103"/>
      <c r="E9" s="70"/>
      <c r="F9" s="71"/>
      <c r="G9" s="70"/>
      <c r="H9" s="71"/>
      <c r="I9" s="70"/>
      <c r="J9" s="71"/>
      <c r="K9" s="70"/>
      <c r="L9" s="71"/>
      <c r="M9" s="70"/>
      <c r="N9" s="71"/>
      <c r="O9" s="70"/>
      <c r="P9" s="71"/>
      <c r="Q9" s="102">
        <f t="shared" si="0"/>
        <v>0</v>
      </c>
      <c r="R9" s="30">
        <v>3.6818092621664049</v>
      </c>
      <c r="S9" s="31">
        <f t="shared" si="1"/>
        <v>0</v>
      </c>
      <c r="T9" s="36">
        <f t="shared" si="3"/>
        <v>0</v>
      </c>
      <c r="U9" s="38" t="s">
        <v>39</v>
      </c>
      <c r="V9" s="91">
        <v>3.8</v>
      </c>
      <c r="W9" s="87">
        <f t="shared" si="2"/>
        <v>0</v>
      </c>
    </row>
    <row r="10" spans="1:23" ht="11.4" customHeight="1" thickTop="1" thickBot="1" x14ac:dyDescent="0.3">
      <c r="A10" s="409" t="s">
        <v>124</v>
      </c>
      <c r="B10" s="32" t="s">
        <v>28</v>
      </c>
      <c r="C10" s="33" t="s">
        <v>29</v>
      </c>
      <c r="D10" s="103"/>
      <c r="E10" s="70"/>
      <c r="F10" s="71"/>
      <c r="G10" s="70"/>
      <c r="H10" s="71"/>
      <c r="I10" s="70"/>
      <c r="J10" s="71"/>
      <c r="K10" s="70"/>
      <c r="L10" s="71"/>
      <c r="M10" s="70"/>
      <c r="N10" s="71"/>
      <c r="O10" s="70"/>
      <c r="P10" s="71"/>
      <c r="Q10" s="100">
        <f t="shared" si="0"/>
        <v>0</v>
      </c>
      <c r="R10" s="34">
        <v>7.9</v>
      </c>
      <c r="S10" s="36">
        <f t="shared" si="1"/>
        <v>0</v>
      </c>
      <c r="T10" s="36">
        <f t="shared" si="3"/>
        <v>0</v>
      </c>
      <c r="U10" s="35" t="s">
        <v>39</v>
      </c>
      <c r="V10" s="89"/>
      <c r="W10" s="85">
        <f t="shared" si="2"/>
        <v>0</v>
      </c>
    </row>
    <row r="11" spans="1:23" ht="11.4" customHeight="1" thickTop="1" thickBot="1" x14ac:dyDescent="0.3">
      <c r="A11" s="405"/>
      <c r="B11" s="23" t="s">
        <v>30</v>
      </c>
      <c r="C11" s="24" t="s">
        <v>31</v>
      </c>
      <c r="D11" s="103"/>
      <c r="E11" s="70"/>
      <c r="F11" s="71"/>
      <c r="G11" s="70"/>
      <c r="H11" s="71"/>
      <c r="I11" s="70"/>
      <c r="J11" s="71"/>
      <c r="K11" s="70"/>
      <c r="L11" s="71"/>
      <c r="M11" s="70"/>
      <c r="N11" s="71"/>
      <c r="O11" s="70"/>
      <c r="P11" s="71"/>
      <c r="Q11" s="101">
        <f t="shared" si="0"/>
        <v>0</v>
      </c>
      <c r="R11" s="26">
        <v>1.87</v>
      </c>
      <c r="S11" s="27">
        <f t="shared" si="1"/>
        <v>0</v>
      </c>
      <c r="T11" s="36">
        <f t="shared" si="3"/>
        <v>0</v>
      </c>
      <c r="U11" s="37" t="s">
        <v>39</v>
      </c>
      <c r="V11" s="89"/>
      <c r="W11" s="86">
        <f t="shared" si="2"/>
        <v>0</v>
      </c>
    </row>
    <row r="12" spans="1:23" ht="11.4" customHeight="1" thickTop="1" thickBot="1" x14ac:dyDescent="0.3">
      <c r="A12" s="405"/>
      <c r="B12" s="23" t="s">
        <v>32</v>
      </c>
      <c r="C12" s="24" t="s">
        <v>33</v>
      </c>
      <c r="D12" s="103"/>
      <c r="E12" s="70"/>
      <c r="F12" s="71"/>
      <c r="G12" s="70"/>
      <c r="H12" s="71"/>
      <c r="I12" s="70"/>
      <c r="J12" s="71"/>
      <c r="K12" s="70"/>
      <c r="L12" s="71"/>
      <c r="M12" s="70"/>
      <c r="N12" s="71"/>
      <c r="O12" s="70"/>
      <c r="P12" s="71"/>
      <c r="Q12" s="101">
        <f t="shared" si="0"/>
        <v>0</v>
      </c>
      <c r="R12" s="25">
        <v>3.33</v>
      </c>
      <c r="S12" s="27">
        <f t="shared" si="1"/>
        <v>0</v>
      </c>
      <c r="T12" s="36">
        <f t="shared" si="3"/>
        <v>0</v>
      </c>
      <c r="U12" s="37" t="s">
        <v>39</v>
      </c>
      <c r="V12" s="89"/>
      <c r="W12" s="86">
        <f t="shared" si="2"/>
        <v>0</v>
      </c>
    </row>
    <row r="13" spans="1:23" ht="11.4" customHeight="1" thickTop="1" thickBot="1" x14ac:dyDescent="0.3">
      <c r="A13" s="405"/>
      <c r="B13" s="23" t="s">
        <v>34</v>
      </c>
      <c r="C13" s="24" t="s">
        <v>33</v>
      </c>
      <c r="D13" s="103"/>
      <c r="E13" s="70"/>
      <c r="F13" s="71"/>
      <c r="G13" s="70"/>
      <c r="H13" s="71"/>
      <c r="I13" s="70"/>
      <c r="J13" s="71"/>
      <c r="K13" s="70"/>
      <c r="L13" s="71"/>
      <c r="M13" s="70"/>
      <c r="N13" s="71"/>
      <c r="O13" s="70"/>
      <c r="P13" s="71"/>
      <c r="Q13" s="101">
        <f t="shared" si="0"/>
        <v>0</v>
      </c>
      <c r="R13" s="26">
        <v>3.33</v>
      </c>
      <c r="S13" s="27">
        <f t="shared" si="1"/>
        <v>0</v>
      </c>
      <c r="T13" s="36">
        <f t="shared" si="3"/>
        <v>0</v>
      </c>
      <c r="U13" s="37" t="s">
        <v>39</v>
      </c>
      <c r="V13" s="90"/>
      <c r="W13" s="86">
        <f t="shared" si="2"/>
        <v>0</v>
      </c>
    </row>
    <row r="14" spans="1:23" ht="11.4" customHeight="1" thickTop="1" thickBot="1" x14ac:dyDescent="0.3">
      <c r="A14" s="410"/>
      <c r="B14" s="28" t="s">
        <v>35</v>
      </c>
      <c r="C14" s="29" t="s">
        <v>36</v>
      </c>
      <c r="D14" s="103"/>
      <c r="E14" s="70"/>
      <c r="F14" s="71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102">
        <f t="shared" si="0"/>
        <v>0</v>
      </c>
      <c r="R14" s="30">
        <v>7.3636185243328098</v>
      </c>
      <c r="S14" s="31">
        <f t="shared" si="1"/>
        <v>0</v>
      </c>
      <c r="T14" s="36">
        <f t="shared" si="3"/>
        <v>0</v>
      </c>
      <c r="U14" s="38" t="s">
        <v>39</v>
      </c>
      <c r="V14" s="91"/>
      <c r="W14" s="87">
        <f t="shared" si="2"/>
        <v>0</v>
      </c>
    </row>
    <row r="15" spans="1:23" ht="11.4" customHeight="1" thickTop="1" thickBot="1" x14ac:dyDescent="0.3">
      <c r="A15" s="405" t="s">
        <v>125</v>
      </c>
      <c r="B15" s="23" t="s">
        <v>28</v>
      </c>
      <c r="C15" s="24" t="s">
        <v>29</v>
      </c>
      <c r="D15" s="103"/>
      <c r="E15" s="70"/>
      <c r="F15" s="71"/>
      <c r="G15" s="70"/>
      <c r="H15" s="71"/>
      <c r="I15" s="70"/>
      <c r="J15" s="71"/>
      <c r="K15" s="70"/>
      <c r="L15" s="71"/>
      <c r="M15" s="70"/>
      <c r="N15" s="71"/>
      <c r="O15" s="70"/>
      <c r="P15" s="71"/>
      <c r="Q15" s="104">
        <f t="shared" si="0"/>
        <v>0</v>
      </c>
      <c r="R15" s="25">
        <v>11.86</v>
      </c>
      <c r="S15" s="39">
        <f t="shared" si="1"/>
        <v>0</v>
      </c>
      <c r="T15" s="36">
        <f>S15</f>
        <v>0</v>
      </c>
      <c r="U15" s="37" t="s">
        <v>39</v>
      </c>
      <c r="V15" s="89"/>
      <c r="W15" s="88">
        <f t="shared" si="2"/>
        <v>0</v>
      </c>
    </row>
    <row r="16" spans="1:23" ht="11.4" customHeight="1" thickTop="1" thickBot="1" x14ac:dyDescent="0.3">
      <c r="A16" s="405"/>
      <c r="B16" s="23" t="s">
        <v>30</v>
      </c>
      <c r="C16" s="24" t="s">
        <v>31</v>
      </c>
      <c r="D16" s="103"/>
      <c r="E16" s="70"/>
      <c r="F16" s="71"/>
      <c r="G16" s="70"/>
      <c r="H16" s="71"/>
      <c r="I16" s="70"/>
      <c r="J16" s="71"/>
      <c r="K16" s="70"/>
      <c r="L16" s="71"/>
      <c r="M16" s="70"/>
      <c r="N16" s="71"/>
      <c r="O16" s="70"/>
      <c r="P16" s="71"/>
      <c r="Q16" s="101">
        <f t="shared" si="0"/>
        <v>0</v>
      </c>
      <c r="R16" s="26">
        <v>2.81</v>
      </c>
      <c r="S16" s="27">
        <f t="shared" si="1"/>
        <v>0</v>
      </c>
      <c r="T16" s="36">
        <f t="shared" ref="T16:T19" si="4">S16</f>
        <v>0</v>
      </c>
      <c r="U16" s="37" t="s">
        <v>39</v>
      </c>
      <c r="V16" s="89"/>
      <c r="W16" s="86">
        <f t="shared" si="2"/>
        <v>0</v>
      </c>
    </row>
    <row r="17" spans="1:23" ht="11.4" customHeight="1" thickTop="1" thickBot="1" x14ac:dyDescent="0.3">
      <c r="A17" s="405"/>
      <c r="B17" s="23" t="s">
        <v>32</v>
      </c>
      <c r="C17" s="24" t="s">
        <v>33</v>
      </c>
      <c r="D17" s="103"/>
      <c r="E17" s="70"/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101">
        <f t="shared" si="0"/>
        <v>0</v>
      </c>
      <c r="R17" s="25">
        <v>4.99</v>
      </c>
      <c r="S17" s="27">
        <f t="shared" si="1"/>
        <v>0</v>
      </c>
      <c r="T17" s="36">
        <f t="shared" si="4"/>
        <v>0</v>
      </c>
      <c r="U17" s="37" t="s">
        <v>39</v>
      </c>
      <c r="V17" s="89"/>
      <c r="W17" s="86">
        <f t="shared" si="2"/>
        <v>0</v>
      </c>
    </row>
    <row r="18" spans="1:23" ht="11.4" customHeight="1" thickTop="1" thickBot="1" x14ac:dyDescent="0.3">
      <c r="A18" s="405"/>
      <c r="B18" s="23" t="s">
        <v>34</v>
      </c>
      <c r="C18" s="24" t="s">
        <v>33</v>
      </c>
      <c r="D18" s="103"/>
      <c r="E18" s="70"/>
      <c r="F18" s="71"/>
      <c r="G18" s="70"/>
      <c r="H18" s="71"/>
      <c r="I18" s="70"/>
      <c r="J18" s="71"/>
      <c r="K18" s="70"/>
      <c r="L18" s="71"/>
      <c r="M18" s="70"/>
      <c r="N18" s="71"/>
      <c r="O18" s="70"/>
      <c r="P18" s="71"/>
      <c r="Q18" s="101">
        <f t="shared" si="0"/>
        <v>0</v>
      </c>
      <c r="R18" s="26">
        <v>4.99</v>
      </c>
      <c r="S18" s="27">
        <f t="shared" si="1"/>
        <v>0</v>
      </c>
      <c r="T18" s="36">
        <f t="shared" si="4"/>
        <v>0</v>
      </c>
      <c r="U18" s="37" t="s">
        <v>39</v>
      </c>
      <c r="V18" s="89"/>
      <c r="W18" s="86">
        <f t="shared" si="2"/>
        <v>0</v>
      </c>
    </row>
    <row r="19" spans="1:23" ht="11.4" customHeight="1" thickTop="1" thickBot="1" x14ac:dyDescent="0.3">
      <c r="A19" s="411"/>
      <c r="B19" s="80" t="s">
        <v>35</v>
      </c>
      <c r="C19" s="81" t="s">
        <v>36</v>
      </c>
      <c r="D19" s="103"/>
      <c r="E19" s="70"/>
      <c r="F19" s="71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101">
        <f t="shared" si="0"/>
        <v>0</v>
      </c>
      <c r="R19" s="82">
        <v>11.054748822605964</v>
      </c>
      <c r="S19" s="27">
        <f t="shared" si="1"/>
        <v>0</v>
      </c>
      <c r="T19" s="36">
        <f t="shared" si="4"/>
        <v>0</v>
      </c>
      <c r="U19" s="83" t="s">
        <v>39</v>
      </c>
      <c r="V19" s="89"/>
      <c r="W19" s="86">
        <f t="shared" si="2"/>
        <v>0</v>
      </c>
    </row>
    <row r="20" spans="1:23" ht="11.4" customHeight="1" thickTop="1" thickBot="1" x14ac:dyDescent="0.3">
      <c r="A20" s="404" t="s">
        <v>154</v>
      </c>
      <c r="B20" s="40" t="s">
        <v>184</v>
      </c>
      <c r="C20" s="41"/>
      <c r="D20" s="42">
        <f>SUM(D5:D19)</f>
        <v>0</v>
      </c>
      <c r="E20" s="42">
        <f t="shared" ref="E20:Q20" si="5">SUM(E5:E19)</f>
        <v>0</v>
      </c>
      <c r="F20" s="42">
        <f t="shared" si="5"/>
        <v>0</v>
      </c>
      <c r="G20" s="42">
        <f t="shared" si="5"/>
        <v>0</v>
      </c>
      <c r="H20" s="42">
        <f t="shared" si="5"/>
        <v>0</v>
      </c>
      <c r="I20" s="42">
        <f t="shared" si="5"/>
        <v>0</v>
      </c>
      <c r="J20" s="42">
        <f t="shared" si="5"/>
        <v>0</v>
      </c>
      <c r="K20" s="42">
        <f t="shared" si="5"/>
        <v>0</v>
      </c>
      <c r="L20" s="42">
        <f t="shared" si="5"/>
        <v>0</v>
      </c>
      <c r="M20" s="42">
        <f t="shared" si="5"/>
        <v>0</v>
      </c>
      <c r="N20" s="42">
        <f t="shared" si="5"/>
        <v>0</v>
      </c>
      <c r="O20" s="42">
        <f t="shared" si="5"/>
        <v>0</v>
      </c>
      <c r="P20" s="42">
        <f t="shared" si="5"/>
        <v>0</v>
      </c>
      <c r="Q20" s="42">
        <f t="shared" si="5"/>
        <v>0</v>
      </c>
      <c r="R20" s="43"/>
      <c r="S20" s="67">
        <f>SUM(S5:S19)</f>
        <v>0</v>
      </c>
      <c r="T20" s="67">
        <f>SUM(T5:T19)</f>
        <v>0</v>
      </c>
      <c r="U20" s="43"/>
      <c r="V20" s="67">
        <f>IFERROR((W20/S20),0)</f>
        <v>0</v>
      </c>
      <c r="W20" s="44">
        <f>SUM(W5:W19)</f>
        <v>0</v>
      </c>
    </row>
    <row r="21" spans="1:23" ht="11.4" customHeight="1" thickTop="1" thickBot="1" x14ac:dyDescent="0.3">
      <c r="A21" s="405"/>
      <c r="B21" s="45" t="s">
        <v>231</v>
      </c>
      <c r="C21" s="46"/>
      <c r="D21" s="47"/>
      <c r="E21" s="47"/>
      <c r="F21" s="47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48"/>
      <c r="R21" s="49"/>
      <c r="S21" s="133">
        <f>IFERROR((S20/T20*T21),0)</f>
        <v>0</v>
      </c>
      <c r="T21" s="137">
        <v>0</v>
      </c>
      <c r="U21" s="50"/>
      <c r="V21" s="48"/>
      <c r="W21" s="51"/>
    </row>
    <row r="22" spans="1:23" ht="11.4" customHeight="1" thickTop="1" thickBot="1" x14ac:dyDescent="0.3">
      <c r="A22" s="405"/>
      <c r="B22" s="45" t="s">
        <v>230</v>
      </c>
      <c r="C22" s="46"/>
      <c r="D22" s="47"/>
      <c r="E22" s="47"/>
      <c r="F22" s="47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48"/>
      <c r="R22" s="49"/>
      <c r="S22" s="133">
        <f>IFERROR((S20/T20*T22),0)</f>
        <v>0</v>
      </c>
      <c r="T22" s="137">
        <v>0</v>
      </c>
      <c r="U22" s="50"/>
      <c r="V22" s="48"/>
      <c r="W22" s="51"/>
    </row>
    <row r="23" spans="1:23" ht="11.4" customHeight="1" thickTop="1" thickBot="1" x14ac:dyDescent="0.3">
      <c r="A23" s="405"/>
      <c r="B23" s="45" t="s">
        <v>153</v>
      </c>
      <c r="C23" s="46"/>
      <c r="D23" s="47"/>
      <c r="E23" s="47"/>
      <c r="F23" s="4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48"/>
      <c r="R23" s="49"/>
      <c r="S23" s="134">
        <f>S20+S21-S22</f>
        <v>0</v>
      </c>
      <c r="T23" s="134">
        <f>T20+T21-T22</f>
        <v>0</v>
      </c>
      <c r="U23" s="50"/>
      <c r="V23" s="48"/>
      <c r="W23" s="51">
        <f>IFERROR(W20/S20*S23,0)</f>
        <v>0</v>
      </c>
    </row>
    <row r="24" spans="1:23" ht="11.4" customHeight="1" thickTop="1" thickBot="1" x14ac:dyDescent="0.3">
      <c r="A24" s="405"/>
      <c r="B24" s="118" t="s">
        <v>166</v>
      </c>
      <c r="C24" s="119"/>
      <c r="D24" s="120"/>
      <c r="E24" s="119"/>
      <c r="F24" s="120"/>
      <c r="G24" s="121"/>
      <c r="H24" s="122"/>
      <c r="I24" s="121"/>
      <c r="J24" s="122"/>
      <c r="K24" s="121"/>
      <c r="L24" s="122"/>
      <c r="M24" s="121"/>
      <c r="N24" s="122"/>
      <c r="O24" s="122" t="s">
        <v>165</v>
      </c>
      <c r="P24" s="122"/>
      <c r="Q24" s="138"/>
      <c r="R24" s="119" t="s">
        <v>164</v>
      </c>
      <c r="S24" s="107" t="str">
        <f>IF(Q24&gt;=T20/2,"MEGFELELŐ A TÁROLÓ MÉRETE","KICSI A TÁROLÓ MÉRETE!!!")</f>
        <v>MEGFELELŐ A TÁROLÓ MÉRETE</v>
      </c>
      <c r="T24" s="54"/>
      <c r="U24" s="119"/>
      <c r="V24" s="126"/>
      <c r="W24" s="125"/>
    </row>
    <row r="25" spans="1:23" ht="11.4" customHeight="1" thickTop="1" thickBot="1" x14ac:dyDescent="0.3">
      <c r="A25" s="405"/>
      <c r="B25" s="23" t="s">
        <v>163</v>
      </c>
      <c r="C25" s="52"/>
      <c r="D25" s="53"/>
      <c r="E25" s="52"/>
      <c r="F25" s="53"/>
      <c r="G25" s="73"/>
      <c r="H25" s="74"/>
      <c r="I25" s="73"/>
      <c r="J25" s="74"/>
      <c r="K25" s="73"/>
      <c r="L25" s="74"/>
      <c r="M25" s="73"/>
      <c r="N25" s="74"/>
      <c r="O25" s="73"/>
      <c r="P25" s="74"/>
      <c r="Q25" s="52"/>
      <c r="R25" s="54"/>
      <c r="S25" s="79">
        <f>IFERROR(W23/Q26,0)</f>
        <v>0</v>
      </c>
      <c r="T25" s="52" t="s">
        <v>56</v>
      </c>
      <c r="U25" s="52"/>
      <c r="V25" s="52"/>
      <c r="W25" s="55"/>
    </row>
    <row r="26" spans="1:23" ht="14.4" customHeight="1" thickTop="1" x14ac:dyDescent="0.25">
      <c r="A26" s="405"/>
      <c r="B26" s="23" t="s">
        <v>151</v>
      </c>
      <c r="C26" s="52"/>
      <c r="D26" s="53"/>
      <c r="E26" s="52"/>
      <c r="F26" s="53"/>
      <c r="G26" s="73"/>
      <c r="H26" s="74"/>
      <c r="I26" s="73"/>
      <c r="J26" s="74"/>
      <c r="K26" s="73"/>
      <c r="L26" s="73"/>
      <c r="M26" s="73"/>
      <c r="N26" s="73"/>
      <c r="O26" s="73"/>
      <c r="P26" s="74"/>
      <c r="Q26" s="139">
        <v>170</v>
      </c>
      <c r="R26" s="74" t="s">
        <v>152</v>
      </c>
      <c r="S26" s="79">
        <f>IFERROR(S23/S25,0)</f>
        <v>0</v>
      </c>
      <c r="T26" s="111" t="s">
        <v>57</v>
      </c>
      <c r="U26" s="79">
        <f>IFERROR(T23/S25,0)</f>
        <v>0</v>
      </c>
      <c r="V26" s="52" t="s">
        <v>181</v>
      </c>
      <c r="W26" s="55"/>
    </row>
    <row r="27" spans="1:23" ht="11.4" customHeight="1" thickBot="1" x14ac:dyDescent="0.3">
      <c r="A27" s="405"/>
      <c r="B27" s="118" t="s">
        <v>58</v>
      </c>
      <c r="C27" s="119"/>
      <c r="D27" s="120"/>
      <c r="E27" s="119"/>
      <c r="F27" s="120"/>
      <c r="G27" s="121"/>
      <c r="H27" s="122"/>
      <c r="I27" s="121"/>
      <c r="J27" s="122"/>
      <c r="K27" s="121"/>
      <c r="L27" s="122"/>
      <c r="M27" s="121"/>
      <c r="N27" s="122"/>
      <c r="O27" s="121"/>
      <c r="P27" s="122"/>
      <c r="Q27" s="119"/>
      <c r="R27" s="123"/>
      <c r="S27" s="123"/>
      <c r="T27" s="119"/>
      <c r="U27" s="119"/>
      <c r="V27" s="119"/>
      <c r="W27" s="125"/>
    </row>
    <row r="28" spans="1:23" ht="11.4" customHeight="1" thickTop="1" thickBot="1" x14ac:dyDescent="0.3">
      <c r="A28" s="405"/>
      <c r="B28" s="23" t="s">
        <v>59</v>
      </c>
      <c r="C28" s="52"/>
      <c r="D28" s="53"/>
      <c r="E28" s="52"/>
      <c r="F28" s="53"/>
      <c r="G28" s="73"/>
      <c r="H28" s="74"/>
      <c r="I28" s="73"/>
      <c r="J28" s="74"/>
      <c r="K28" s="73"/>
      <c r="L28" s="74"/>
      <c r="M28" s="73"/>
      <c r="N28" s="74"/>
      <c r="O28" s="73"/>
      <c r="P28" s="74"/>
      <c r="Q28" s="52"/>
      <c r="R28" s="54"/>
      <c r="S28" s="137">
        <v>0</v>
      </c>
      <c r="T28" s="112" t="s">
        <v>60</v>
      </c>
      <c r="U28" s="52"/>
      <c r="V28" s="108"/>
      <c r="W28" s="131" t="str">
        <f>IF(S29&gt;S26," KICSI TERÜLET!!!","ELÉG TERÜLET")</f>
        <v>ELÉG TERÜLET</v>
      </c>
    </row>
    <row r="29" spans="1:23" ht="11.4" customHeight="1" thickTop="1" thickBot="1" x14ac:dyDescent="0.3">
      <c r="A29" s="405"/>
      <c r="B29" s="23" t="s">
        <v>61</v>
      </c>
      <c r="C29" s="52"/>
      <c r="D29" s="53"/>
      <c r="E29" s="52"/>
      <c r="F29" s="53"/>
      <c r="G29" s="73"/>
      <c r="H29" s="74"/>
      <c r="I29" s="339" t="str">
        <f>CONCATENATE(ROUND(S23,2)," t ",B23," esetén")</f>
        <v>0 t FELHASZNÁLT HÍGTRÁGYA esetén</v>
      </c>
      <c r="J29" s="74"/>
      <c r="K29" s="73"/>
      <c r="L29" s="74"/>
      <c r="M29" s="73"/>
      <c r="N29" s="74"/>
      <c r="O29" s="73"/>
      <c r="P29" s="74"/>
      <c r="Q29" s="129">
        <f>IFERROR((S29*V20),0)</f>
        <v>0</v>
      </c>
      <c r="R29" s="130" t="s">
        <v>182</v>
      </c>
      <c r="S29" s="109">
        <f>IFERROR(S23/S28,0)</f>
        <v>0</v>
      </c>
      <c r="T29" s="113" t="s">
        <v>62</v>
      </c>
      <c r="U29" s="109">
        <f>IFERROR(T23/S28,0)</f>
        <v>0</v>
      </c>
      <c r="V29" s="110" t="s">
        <v>181</v>
      </c>
      <c r="W29" s="131" t="str">
        <f>IF(S29&gt;S26," SOK!!!","MEGENGEDETT")</f>
        <v>MEGENGEDETT</v>
      </c>
    </row>
    <row r="30" spans="1:23" ht="11.4" customHeight="1" thickTop="1" thickBot="1" x14ac:dyDescent="0.3">
      <c r="A30" s="405"/>
      <c r="B30" s="118" t="s">
        <v>63</v>
      </c>
      <c r="C30" s="119"/>
      <c r="D30" s="120"/>
      <c r="E30" s="119"/>
      <c r="F30" s="120"/>
      <c r="G30" s="121"/>
      <c r="H30" s="122"/>
      <c r="I30" s="121"/>
      <c r="J30" s="122"/>
      <c r="K30" s="121"/>
      <c r="L30" s="122"/>
      <c r="M30" s="121"/>
      <c r="N30" s="122"/>
      <c r="O30" s="121"/>
      <c r="P30" s="122"/>
      <c r="Q30" s="119"/>
      <c r="R30" s="123"/>
      <c r="S30" s="54"/>
      <c r="T30" s="52"/>
      <c r="U30" s="119"/>
      <c r="V30" s="124"/>
      <c r="W30" s="132"/>
    </row>
    <row r="31" spans="1:23" ht="11.4" customHeight="1" thickTop="1" thickBot="1" x14ac:dyDescent="0.3">
      <c r="A31" s="405"/>
      <c r="B31" s="23" t="s">
        <v>64</v>
      </c>
      <c r="C31" s="53"/>
      <c r="D31" s="53"/>
      <c r="E31" s="53"/>
      <c r="F31" s="52"/>
      <c r="G31" s="74"/>
      <c r="H31" s="74"/>
      <c r="I31" s="73"/>
      <c r="J31" s="74"/>
      <c r="K31" s="73"/>
      <c r="L31" s="74"/>
      <c r="M31" s="73"/>
      <c r="N31" s="74"/>
      <c r="O31" s="73"/>
      <c r="P31" s="74"/>
      <c r="Q31" s="127">
        <f>IFERROR((S31*V20),0)</f>
        <v>0</v>
      </c>
      <c r="R31" s="128" t="s">
        <v>182</v>
      </c>
      <c r="S31" s="137">
        <v>0</v>
      </c>
      <c r="T31" s="114" t="s">
        <v>57</v>
      </c>
      <c r="U31" s="116">
        <f>IFERROR((T20*S31/S20),0)</f>
        <v>0</v>
      </c>
      <c r="V31" s="110" t="s">
        <v>181</v>
      </c>
      <c r="W31" s="131" t="str">
        <f>IF(S31&gt;S26," SOK!!!","MEGENGEDETT")</f>
        <v>MEGENGEDETT</v>
      </c>
    </row>
    <row r="32" spans="1:23" ht="11.4" customHeight="1" thickTop="1" thickBot="1" x14ac:dyDescent="0.3">
      <c r="A32" s="406"/>
      <c r="B32" s="56" t="s">
        <v>65</v>
      </c>
      <c r="C32" s="58"/>
      <c r="D32" s="57"/>
      <c r="E32" s="58"/>
      <c r="F32" s="57"/>
      <c r="G32" s="75"/>
      <c r="H32" s="76"/>
      <c r="I32" s="339" t="str">
        <f>CONCATENATE(ROUND(S23,2)," t ",B23," esetén")</f>
        <v>0 t FELHASZNÁLT HÍGTRÁGYA esetén</v>
      </c>
      <c r="J32" s="76"/>
      <c r="K32" s="75"/>
      <c r="L32" s="76"/>
      <c r="M32" s="75"/>
      <c r="N32" s="76"/>
      <c r="O32" s="75"/>
      <c r="P32" s="76"/>
      <c r="Q32" s="58"/>
      <c r="R32" s="59"/>
      <c r="S32" s="135">
        <f>IFERROR(S23/S31,0)</f>
        <v>0</v>
      </c>
      <c r="T32" s="136" t="s">
        <v>56</v>
      </c>
      <c r="U32" s="115"/>
      <c r="V32" s="115"/>
      <c r="W32" s="60"/>
    </row>
    <row r="33" spans="2:23" ht="10.199999999999999" customHeight="1" x14ac:dyDescent="0.25">
      <c r="B33" s="97" t="s">
        <v>155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105"/>
      <c r="T33" s="97"/>
      <c r="U33" s="97"/>
      <c r="V33" s="97"/>
      <c r="W33" s="97"/>
    </row>
    <row r="34" spans="2:23" ht="10.95" customHeight="1" x14ac:dyDescent="0.25">
      <c r="B34" s="97" t="s">
        <v>167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105"/>
      <c r="T34" s="97"/>
      <c r="U34" s="97"/>
      <c r="V34" s="97"/>
      <c r="W34" s="97"/>
    </row>
    <row r="35" spans="2:23" ht="12" customHeight="1" x14ac:dyDescent="0.25">
      <c r="B35" s="97" t="s">
        <v>149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61"/>
      <c r="T35" s="97"/>
      <c r="U35" s="97"/>
      <c r="V35" s="97"/>
      <c r="W35" s="97"/>
    </row>
    <row r="36" spans="2:23" ht="10.95" customHeight="1" x14ac:dyDescent="0.25">
      <c r="B36" s="97" t="s">
        <v>150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105"/>
      <c r="T36" s="97"/>
      <c r="U36" s="97"/>
      <c r="V36" s="97"/>
      <c r="W36" s="97"/>
    </row>
    <row r="37" spans="2:23" ht="12" customHeight="1" x14ac:dyDescent="0.25">
      <c r="B37" s="300" t="s">
        <v>226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105"/>
      <c r="T37" s="97"/>
      <c r="U37" s="97"/>
      <c r="V37" s="97"/>
      <c r="W37" s="97"/>
    </row>
    <row r="38" spans="2:23" ht="10.95" customHeight="1" x14ac:dyDescent="0.25">
      <c r="B38" s="97" t="s">
        <v>168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105"/>
      <c r="T38" s="97"/>
      <c r="U38" s="97"/>
      <c r="V38" s="97"/>
      <c r="W38" s="97"/>
    </row>
    <row r="39" spans="2:23" ht="10.95" customHeight="1" x14ac:dyDescent="0.25">
      <c r="B39" s="97" t="s">
        <v>156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105"/>
      <c r="T39" s="97"/>
      <c r="U39" s="97"/>
      <c r="V39" s="97"/>
      <c r="W39" s="97"/>
    </row>
    <row r="40" spans="2:23" ht="10.95" customHeight="1" x14ac:dyDescent="0.25">
      <c r="B40" s="99" t="s">
        <v>162</v>
      </c>
      <c r="C40" s="97"/>
      <c r="D40" s="97"/>
      <c r="E40" s="99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105"/>
      <c r="T40" s="97"/>
      <c r="U40" s="97"/>
      <c r="V40" s="97"/>
      <c r="W40" s="97"/>
    </row>
    <row r="41" spans="2:23" ht="10.95" customHeight="1" x14ac:dyDescent="0.25">
      <c r="B41" s="97" t="s">
        <v>157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117"/>
      <c r="U41" s="97"/>
      <c r="V41" s="97"/>
      <c r="W41" s="97"/>
    </row>
    <row r="42" spans="2:23" ht="10.95" customHeight="1" x14ac:dyDescent="0.25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</row>
    <row r="43" spans="2:23" ht="10.95" customHeight="1" x14ac:dyDescent="0.25">
      <c r="B43" s="97" t="s">
        <v>160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105"/>
      <c r="T43" s="97"/>
      <c r="U43" s="97"/>
      <c r="V43" s="97"/>
      <c r="W43" s="97"/>
    </row>
    <row r="44" spans="2:23" ht="10.95" customHeight="1" x14ac:dyDescent="0.25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106"/>
      <c r="T44" s="98"/>
      <c r="U44" s="98"/>
      <c r="V44" s="98"/>
      <c r="W44" s="98"/>
    </row>
    <row r="45" spans="2:23" ht="10.95" customHeight="1" x14ac:dyDescent="0.2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106"/>
      <c r="T45" s="98"/>
      <c r="U45" s="98"/>
      <c r="V45" s="98"/>
      <c r="W45" s="98"/>
    </row>
    <row r="46" spans="2:23" ht="10.95" customHeight="1" x14ac:dyDescent="0.25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106"/>
      <c r="T46" s="98"/>
      <c r="U46" s="98"/>
      <c r="V46" s="98"/>
      <c r="W46" s="98"/>
    </row>
  </sheetData>
  <sheetProtection formatCells="0" formatColumns="0" formatRows="0" insertColumns="0" insertRows="0" insertHyperlinks="0" deleteColumns="0" deleteRows="0" selectLockedCells="1" autoFilter="0"/>
  <autoFilter ref="A4:W41" xr:uid="{00000000-0009-0000-0000-000001000000}"/>
  <mergeCells count="5">
    <mergeCell ref="A20:A32"/>
    <mergeCell ref="B3:B4"/>
    <mergeCell ref="A5:A9"/>
    <mergeCell ref="A10:A14"/>
    <mergeCell ref="A15:A19"/>
  </mergeCells>
  <conditionalFormatting sqref="S24">
    <cfRule type="expression" dxfId="6" priority="12">
      <formula>$Q$24&lt;$T$20/2</formula>
    </cfRule>
    <cfRule type="expression" dxfId="5" priority="13">
      <formula>$Q$24&gt;=$T$20/2</formula>
    </cfRule>
  </conditionalFormatting>
  <conditionalFormatting sqref="S29:T29">
    <cfRule type="iconSet" priority="24">
      <iconSet iconSet="3Flags" reverse="1">
        <cfvo type="percent" val="0"/>
        <cfvo type="num" val="0" gte="0"/>
        <cfvo type="num" val="$S$26" gte="0"/>
      </iconSet>
    </cfRule>
    <cfRule type="iconSet" priority="25">
      <iconSet iconSet="3Flags">
        <cfvo type="percent" val="0"/>
        <cfvo type="percent" val="33"/>
        <cfvo type="percent" val="67"/>
      </iconSet>
    </cfRule>
    <cfRule type="cellIs" dxfId="4" priority="26" stopIfTrue="1" operator="lessThanOrEqual">
      <formula>$S$26</formula>
    </cfRule>
  </conditionalFormatting>
  <conditionalFormatting sqref="T28">
    <cfRule type="iconSet" priority="21">
      <iconSet iconSet="3Flags">
        <cfvo type="percent" val="0"/>
        <cfvo type="num" val="$S$25"/>
        <cfvo type="num" val="$S$25" gte="0"/>
      </iconSet>
    </cfRule>
    <cfRule type="iconSet" priority="22">
      <iconSet iconSet="3Flags" reverse="1">
        <cfvo type="percent" val="0"/>
        <cfvo type="num" val="$S$25"/>
        <cfvo type="num" val="$S$25" gte="0"/>
      </iconSet>
    </cfRule>
    <cfRule type="iconSet" priority="23">
      <iconSet iconSet="3Flags" reverse="1">
        <cfvo type="percent" val="0"/>
        <cfvo type="num" val="0" gte="0"/>
        <cfvo type="num" val="$S$26"/>
      </iconSet>
    </cfRule>
  </conditionalFormatting>
  <conditionalFormatting sqref="T31">
    <cfRule type="iconSet" priority="14">
      <iconSet iconSet="3Flags">
        <cfvo type="percent" val="0"/>
        <cfvo type="num" val="$S$25"/>
        <cfvo type="num" val="$S$25" gte="0"/>
      </iconSet>
    </cfRule>
    <cfRule type="iconSet" priority="15">
      <iconSet iconSet="3Flags" reverse="1">
        <cfvo type="percent" val="0"/>
        <cfvo type="num" val="$S$25"/>
        <cfvo type="num" val="$S$25" gte="0"/>
      </iconSet>
    </cfRule>
    <cfRule type="iconSet" priority="16">
      <iconSet iconSet="3Flags" reverse="1">
        <cfvo type="percent" val="0"/>
        <cfvo type="num" val="0" gte="0"/>
        <cfvo type="num" val="$S$26"/>
      </iconSet>
    </cfRule>
    <cfRule type="iconSet" priority="17">
      <iconSet iconSet="3Flags" reverse="1">
        <cfvo type="percent" val="0"/>
        <cfvo type="num" val="0" gte="0"/>
        <cfvo type="num" val="$S$26" gte="0"/>
      </iconSet>
    </cfRule>
  </conditionalFormatting>
  <conditionalFormatting sqref="W28:W29">
    <cfRule type="expression" dxfId="3" priority="10">
      <formula>$S$26&lt;$S$29</formula>
    </cfRule>
    <cfRule type="expression" dxfId="2" priority="11">
      <formula>$S$26&gt;=$S$29</formula>
    </cfRule>
  </conditionalFormatting>
  <conditionalFormatting sqref="W31">
    <cfRule type="expression" dxfId="1" priority="8">
      <formula>$S$31&lt;=$S$26</formula>
    </cfRule>
    <cfRule type="expression" dxfId="0" priority="9">
      <formula>$S$31&gt;$S$26</formula>
    </cfRule>
  </conditionalFormatting>
  <pageMargins left="0.17" right="3.937007874015748E-2" top="0.09" bottom="0.15748031496062992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45"/>
  <sheetViews>
    <sheetView windowProtection="1" tabSelected="1" topLeftCell="A6" workbookViewId="0">
      <selection activeCell="N21" sqref="N21"/>
    </sheetView>
  </sheetViews>
  <sheetFormatPr defaultColWidth="9.109375" defaultRowHeight="14.4" x14ac:dyDescent="0.3"/>
  <cols>
    <col min="1" max="1" width="9.109375" style="1"/>
    <col min="2" max="2" width="64.5546875" style="1" bestFit="1" customWidth="1"/>
    <col min="3" max="3" width="10" style="9" customWidth="1"/>
    <col min="4" max="4" width="11" style="9" customWidth="1"/>
    <col min="5" max="5" width="12.88671875" style="1" customWidth="1"/>
    <col min="6" max="6" width="10.109375" style="1" customWidth="1"/>
    <col min="7" max="7" width="11.44140625" style="1" customWidth="1"/>
    <col min="8" max="8" width="8.88671875" style="1" customWidth="1"/>
    <col min="9" max="9" width="5.77734375" style="1" bestFit="1" customWidth="1"/>
    <col min="10" max="16384" width="9.109375" style="1"/>
  </cols>
  <sheetData>
    <row r="1" spans="1:10" x14ac:dyDescent="0.3">
      <c r="A1" s="5" t="s">
        <v>66</v>
      </c>
      <c r="E1"/>
      <c r="F1"/>
      <c r="G1"/>
      <c r="H1"/>
      <c r="I1"/>
      <c r="J1"/>
    </row>
    <row r="2" spans="1:10" ht="15.6" x14ac:dyDescent="0.3">
      <c r="A2" s="6" t="s">
        <v>67</v>
      </c>
      <c r="E2"/>
      <c r="F2"/>
      <c r="G2"/>
      <c r="H2"/>
      <c r="I2"/>
      <c r="J2"/>
    </row>
    <row r="3" spans="1:10" ht="16.2" thickBot="1" x14ac:dyDescent="0.35">
      <c r="A3" s="3" t="s">
        <v>67</v>
      </c>
      <c r="B3" s="7"/>
      <c r="C3" s="11"/>
      <c r="D3" s="11"/>
      <c r="E3" s="2"/>
      <c r="F3" s="2"/>
      <c r="G3" s="2"/>
      <c r="H3" s="2"/>
      <c r="I3" s="2"/>
      <c r="J3" s="2"/>
    </row>
    <row r="4" spans="1:10" ht="14.4" customHeight="1" x14ac:dyDescent="0.3">
      <c r="A4" s="2"/>
      <c r="B4" s="7"/>
      <c r="C4" s="415" t="s">
        <v>205</v>
      </c>
      <c r="D4" s="416"/>
      <c r="E4" s="412" t="s">
        <v>206</v>
      </c>
      <c r="F4" s="413"/>
      <c r="G4" s="413"/>
      <c r="H4" s="413"/>
      <c r="I4" s="414"/>
      <c r="J4" s="2"/>
    </row>
    <row r="5" spans="1:10" s="4" customFormat="1" ht="15.6" x14ac:dyDescent="0.3">
      <c r="A5" s="8"/>
      <c r="B5" s="3" t="s">
        <v>119</v>
      </c>
      <c r="C5" s="363" t="s">
        <v>133</v>
      </c>
      <c r="D5" s="364" t="s">
        <v>132</v>
      </c>
      <c r="E5" s="417" t="s">
        <v>118</v>
      </c>
      <c r="F5" s="385" t="s">
        <v>69</v>
      </c>
      <c r="G5" s="390"/>
      <c r="H5" s="390"/>
      <c r="I5" s="391"/>
    </row>
    <row r="6" spans="1:10" s="4" customFormat="1" ht="15.6" x14ac:dyDescent="0.3">
      <c r="A6" s="8"/>
      <c r="B6" s="3"/>
      <c r="C6" s="365" t="s">
        <v>134</v>
      </c>
      <c r="D6" s="366" t="s">
        <v>134</v>
      </c>
      <c r="E6" s="417"/>
      <c r="F6" s="384" t="s">
        <v>71</v>
      </c>
      <c r="G6" s="384" t="s">
        <v>72</v>
      </c>
      <c r="H6" s="384" t="s">
        <v>73</v>
      </c>
      <c r="I6" s="392" t="s">
        <v>74</v>
      </c>
    </row>
    <row r="7" spans="1:10" ht="15.6" x14ac:dyDescent="0.3">
      <c r="A7" s="7" t="s">
        <v>68</v>
      </c>
      <c r="B7" s="3" t="s">
        <v>76</v>
      </c>
      <c r="C7" s="367"/>
      <c r="D7" s="368"/>
      <c r="E7" s="418"/>
      <c r="F7" s="393"/>
      <c r="G7" s="393"/>
      <c r="H7" s="393"/>
      <c r="I7" s="394"/>
    </row>
    <row r="8" spans="1:10" ht="15.6" x14ac:dyDescent="0.3">
      <c r="A8" s="7" t="s">
        <v>98</v>
      </c>
      <c r="B8" s="360" t="s">
        <v>135</v>
      </c>
      <c r="C8" s="369">
        <v>19.239999999999998</v>
      </c>
      <c r="D8" s="370">
        <v>7.28</v>
      </c>
      <c r="E8" s="378">
        <v>125</v>
      </c>
      <c r="F8" s="358">
        <v>6</v>
      </c>
      <c r="G8" s="358">
        <v>6.1</v>
      </c>
      <c r="H8" s="358"/>
      <c r="I8" s="387">
        <v>2.1</v>
      </c>
    </row>
    <row r="9" spans="1:10" ht="15.6" x14ac:dyDescent="0.3">
      <c r="A9" s="7" t="s">
        <v>98</v>
      </c>
      <c r="B9" s="360" t="s">
        <v>136</v>
      </c>
      <c r="C9" s="369">
        <v>19.239999999999998</v>
      </c>
      <c r="D9" s="370">
        <v>7.28</v>
      </c>
      <c r="E9" s="378">
        <v>125</v>
      </c>
      <c r="F9" s="358">
        <v>6</v>
      </c>
      <c r="G9" s="358"/>
      <c r="H9" s="358">
        <v>7.8</v>
      </c>
      <c r="I9" s="387">
        <v>2.1</v>
      </c>
    </row>
    <row r="10" spans="1:10" ht="15.6" x14ac:dyDescent="0.3">
      <c r="A10" s="7"/>
      <c r="B10" s="360" t="s">
        <v>131</v>
      </c>
      <c r="C10" s="369"/>
      <c r="D10" s="370">
        <v>24.96</v>
      </c>
      <c r="E10" s="378">
        <v>125</v>
      </c>
      <c r="F10" s="358">
        <v>6</v>
      </c>
      <c r="G10" s="358"/>
      <c r="H10" s="358"/>
      <c r="I10" s="387">
        <v>2.1</v>
      </c>
    </row>
    <row r="11" spans="1:10" ht="15.6" x14ac:dyDescent="0.3">
      <c r="A11" s="7" t="s">
        <v>99</v>
      </c>
      <c r="B11" s="360" t="s">
        <v>77</v>
      </c>
      <c r="C11" s="369">
        <v>2.86</v>
      </c>
      <c r="D11" s="370"/>
      <c r="E11" s="378">
        <v>12</v>
      </c>
      <c r="F11" s="358" t="s">
        <v>78</v>
      </c>
      <c r="G11" s="358">
        <v>3.8</v>
      </c>
      <c r="H11" s="358" t="s">
        <v>78</v>
      </c>
      <c r="I11" s="387">
        <v>2.4</v>
      </c>
    </row>
    <row r="12" spans="1:10" ht="15.6" x14ac:dyDescent="0.3">
      <c r="A12" s="7" t="s">
        <v>100</v>
      </c>
      <c r="B12" s="360" t="s">
        <v>79</v>
      </c>
      <c r="C12" s="369">
        <v>7.28</v>
      </c>
      <c r="D12" s="370"/>
      <c r="E12" s="378">
        <v>22</v>
      </c>
      <c r="F12" s="358" t="s">
        <v>78</v>
      </c>
      <c r="G12" s="358" t="s">
        <v>78</v>
      </c>
      <c r="H12" s="358">
        <v>3.6</v>
      </c>
      <c r="I12" s="387">
        <v>2.1</v>
      </c>
    </row>
    <row r="13" spans="1:10" ht="15.6" x14ac:dyDescent="0.3">
      <c r="A13" s="7" t="s">
        <v>101</v>
      </c>
      <c r="B13" s="360" t="s">
        <v>80</v>
      </c>
      <c r="C13" s="369">
        <v>11.96</v>
      </c>
      <c r="D13" s="370"/>
      <c r="E13" s="378">
        <v>42</v>
      </c>
      <c r="F13" s="358" t="s">
        <v>78</v>
      </c>
      <c r="G13" s="358" t="s">
        <v>78</v>
      </c>
      <c r="H13" s="358">
        <v>4.2</v>
      </c>
      <c r="I13" s="387">
        <v>1.8</v>
      </c>
    </row>
    <row r="14" spans="1:10" ht="15.6" x14ac:dyDescent="0.3">
      <c r="A14" s="7" t="s">
        <v>102</v>
      </c>
      <c r="B14" s="360" t="s">
        <v>81</v>
      </c>
      <c r="C14" s="369">
        <v>7.8</v>
      </c>
      <c r="D14" s="370"/>
      <c r="E14" s="378">
        <v>25</v>
      </c>
      <c r="F14" s="358" t="s">
        <v>78</v>
      </c>
      <c r="G14" s="358" t="s">
        <v>78</v>
      </c>
      <c r="H14" s="358">
        <v>3.8</v>
      </c>
      <c r="I14" s="387">
        <v>1.9</v>
      </c>
    </row>
    <row r="15" spans="1:10" ht="15.6" x14ac:dyDescent="0.3">
      <c r="A15" s="7" t="s">
        <v>103</v>
      </c>
      <c r="B15" s="360" t="s">
        <v>82</v>
      </c>
      <c r="C15" s="369">
        <v>10.4</v>
      </c>
      <c r="D15" s="370"/>
      <c r="E15" s="378">
        <v>45</v>
      </c>
      <c r="F15" s="358" t="s">
        <v>78</v>
      </c>
      <c r="G15" s="358" t="s">
        <v>78</v>
      </c>
      <c r="H15" s="358">
        <v>5.3</v>
      </c>
      <c r="I15" s="387">
        <v>2</v>
      </c>
    </row>
    <row r="16" spans="1:10" ht="15.6" x14ac:dyDescent="0.3">
      <c r="A16" s="7" t="s">
        <v>104</v>
      </c>
      <c r="B16" s="360" t="s">
        <v>105</v>
      </c>
      <c r="C16" s="369">
        <v>17.68</v>
      </c>
      <c r="D16" s="370"/>
      <c r="E16" s="378">
        <v>51</v>
      </c>
      <c r="F16" s="358" t="s">
        <v>78</v>
      </c>
      <c r="G16" s="358" t="s">
        <v>78</v>
      </c>
      <c r="H16" s="358">
        <v>3.5</v>
      </c>
      <c r="I16" s="387">
        <v>1.7</v>
      </c>
    </row>
    <row r="17" spans="1:9" ht="15.6" x14ac:dyDescent="0.3">
      <c r="A17" s="7" t="s">
        <v>70</v>
      </c>
      <c r="B17" s="3" t="s">
        <v>83</v>
      </c>
      <c r="C17" s="371"/>
      <c r="D17" s="372"/>
      <c r="E17" s="379"/>
      <c r="F17" s="2"/>
      <c r="G17" s="2"/>
      <c r="H17" s="2"/>
      <c r="I17" s="386"/>
    </row>
    <row r="18" spans="1:9" ht="15.6" x14ac:dyDescent="0.3">
      <c r="A18" s="7" t="s">
        <v>106</v>
      </c>
      <c r="B18" s="361" t="s">
        <v>84</v>
      </c>
      <c r="C18" s="373">
        <v>5.0960000000000001</v>
      </c>
      <c r="D18" s="370"/>
      <c r="E18" s="378">
        <v>26.5</v>
      </c>
      <c r="F18" s="358">
        <v>4.2</v>
      </c>
      <c r="G18" s="358">
        <v>3.57</v>
      </c>
      <c r="H18" s="358" t="s">
        <v>78</v>
      </c>
      <c r="I18" s="387">
        <v>2.2000000000000002</v>
      </c>
    </row>
    <row r="19" spans="1:9" ht="15.6" x14ac:dyDescent="0.3">
      <c r="A19" s="7" t="s">
        <v>107</v>
      </c>
      <c r="B19" s="361" t="s">
        <v>85</v>
      </c>
      <c r="C19" s="373">
        <v>1.0920000000000001</v>
      </c>
      <c r="D19" s="370"/>
      <c r="E19" s="378">
        <v>3.4</v>
      </c>
      <c r="F19" s="358">
        <v>2.35</v>
      </c>
      <c r="G19" s="358">
        <v>2.4</v>
      </c>
      <c r="H19" s="358" t="s">
        <v>78</v>
      </c>
      <c r="I19" s="387">
        <v>1.9</v>
      </c>
    </row>
    <row r="20" spans="1:9" ht="15.6" x14ac:dyDescent="0.3">
      <c r="A20" s="7" t="s">
        <v>108</v>
      </c>
      <c r="B20" s="361" t="s">
        <v>86</v>
      </c>
      <c r="C20" s="373">
        <v>1.8460000000000001</v>
      </c>
      <c r="D20" s="370"/>
      <c r="E20" s="378">
        <v>12</v>
      </c>
      <c r="F20" s="358">
        <v>3.8</v>
      </c>
      <c r="G20" s="358">
        <v>5</v>
      </c>
      <c r="H20" s="358">
        <v>6.8</v>
      </c>
      <c r="I20" s="387">
        <v>2.4</v>
      </c>
    </row>
    <row r="21" spans="1:9" ht="15.6" x14ac:dyDescent="0.3">
      <c r="A21" s="7"/>
      <c r="B21" s="361" t="s">
        <v>148</v>
      </c>
      <c r="C21" s="373">
        <f>13*365/1000</f>
        <v>4.7450000000000001</v>
      </c>
      <c r="D21" s="370"/>
      <c r="E21" s="378"/>
      <c r="F21" s="358"/>
      <c r="G21" s="358"/>
      <c r="H21" s="358"/>
      <c r="I21" s="387"/>
    </row>
    <row r="22" spans="1:9" ht="15.6" x14ac:dyDescent="0.3">
      <c r="A22" s="7" t="s">
        <v>75</v>
      </c>
      <c r="B22" s="3" t="s">
        <v>87</v>
      </c>
      <c r="C22" s="371"/>
      <c r="D22" s="372"/>
      <c r="E22" s="379"/>
      <c r="F22" s="2"/>
      <c r="G22" s="2"/>
      <c r="H22" s="2"/>
      <c r="I22" s="386"/>
    </row>
    <row r="23" spans="1:9" ht="15.6" x14ac:dyDescent="0.3">
      <c r="A23" s="7" t="s">
        <v>109</v>
      </c>
      <c r="B23" s="361" t="s">
        <v>140</v>
      </c>
      <c r="C23" s="369"/>
      <c r="D23" s="370">
        <v>41.86</v>
      </c>
      <c r="E23" s="378">
        <v>740</v>
      </c>
      <c r="F23" s="358">
        <v>19</v>
      </c>
      <c r="G23" s="358" t="s">
        <v>78</v>
      </c>
      <c r="H23" s="358"/>
      <c r="I23" s="387">
        <v>7.2</v>
      </c>
    </row>
    <row r="24" spans="1:9" ht="15.6" x14ac:dyDescent="0.3">
      <c r="A24" s="7" t="s">
        <v>109</v>
      </c>
      <c r="B24" s="361" t="s">
        <v>142</v>
      </c>
      <c r="C24" s="369">
        <v>43</v>
      </c>
      <c r="D24" s="370"/>
      <c r="E24" s="378">
        <v>740</v>
      </c>
      <c r="F24" s="358"/>
      <c r="G24" s="358" t="s">
        <v>78</v>
      </c>
      <c r="H24" s="358">
        <v>16</v>
      </c>
      <c r="I24" s="387">
        <v>7.2</v>
      </c>
    </row>
    <row r="25" spans="1:9" ht="15.6" x14ac:dyDescent="0.3">
      <c r="A25" s="7" t="s">
        <v>110</v>
      </c>
      <c r="B25" s="361" t="s">
        <v>88</v>
      </c>
      <c r="C25" s="369">
        <v>11.34</v>
      </c>
      <c r="D25" s="370"/>
      <c r="E25" s="378">
        <v>383</v>
      </c>
      <c r="F25" s="358" t="s">
        <v>78</v>
      </c>
      <c r="G25" s="358" t="s">
        <v>78</v>
      </c>
      <c r="H25" s="358">
        <v>23</v>
      </c>
      <c r="I25" s="387">
        <v>6.8</v>
      </c>
    </row>
    <row r="26" spans="1:9" ht="15.6" x14ac:dyDescent="0.3">
      <c r="A26" s="7" t="s">
        <v>111</v>
      </c>
      <c r="B26" s="361" t="s">
        <v>129</v>
      </c>
      <c r="C26" s="369">
        <v>41.08</v>
      </c>
      <c r="D26" s="370"/>
      <c r="E26" s="378">
        <v>1650</v>
      </c>
      <c r="F26" s="358" t="s">
        <v>78</v>
      </c>
      <c r="G26" s="358" t="s">
        <v>78</v>
      </c>
      <c r="H26" s="358">
        <v>30.6</v>
      </c>
      <c r="I26" s="387">
        <v>12.9</v>
      </c>
    </row>
    <row r="27" spans="1:9" ht="15.6" x14ac:dyDescent="0.3">
      <c r="A27" s="7"/>
      <c r="B27" s="361" t="s">
        <v>130</v>
      </c>
      <c r="C27" s="369">
        <v>17.16</v>
      </c>
      <c r="D27" s="370"/>
      <c r="E27" s="378">
        <v>1650</v>
      </c>
      <c r="F27" s="358" t="s">
        <v>78</v>
      </c>
      <c r="G27" s="358" t="s">
        <v>78</v>
      </c>
      <c r="H27" s="358">
        <v>30.6</v>
      </c>
      <c r="I27" s="387">
        <v>12.9</v>
      </c>
    </row>
    <row r="28" spans="1:9" ht="15.6" x14ac:dyDescent="0.3">
      <c r="A28" s="7" t="s">
        <v>112</v>
      </c>
      <c r="B28" s="361" t="s">
        <v>89</v>
      </c>
      <c r="C28" s="369">
        <v>1.56</v>
      </c>
      <c r="D28" s="370"/>
      <c r="E28" s="378">
        <v>14.8</v>
      </c>
      <c r="F28" s="358" t="s">
        <v>78</v>
      </c>
      <c r="G28" s="358" t="s">
        <v>78</v>
      </c>
      <c r="H28" s="358">
        <v>9.1999999999999993</v>
      </c>
      <c r="I28" s="387">
        <v>1.9</v>
      </c>
    </row>
    <row r="29" spans="1:9" ht="15.6" x14ac:dyDescent="0.3">
      <c r="A29" s="7" t="s">
        <v>113</v>
      </c>
      <c r="B29" s="361" t="s">
        <v>90</v>
      </c>
      <c r="C29" s="369">
        <v>2.1800000000000002</v>
      </c>
      <c r="D29" s="370"/>
      <c r="E29" s="378">
        <v>16.7</v>
      </c>
      <c r="F29" s="358" t="s">
        <v>78</v>
      </c>
      <c r="G29" s="358" t="s">
        <v>78</v>
      </c>
      <c r="H29" s="358">
        <v>7.3</v>
      </c>
      <c r="I29" s="387">
        <v>1.7</v>
      </c>
    </row>
    <row r="30" spans="1:9" ht="15.6" x14ac:dyDescent="0.3">
      <c r="A30" s="7" t="s">
        <v>114</v>
      </c>
      <c r="B30" s="361" t="s">
        <v>91</v>
      </c>
      <c r="C30" s="369">
        <v>1.56</v>
      </c>
      <c r="D30" s="370"/>
      <c r="E30" s="378">
        <v>13.6</v>
      </c>
      <c r="F30" s="358" t="s">
        <v>78</v>
      </c>
      <c r="G30" s="358" t="s">
        <v>78</v>
      </c>
      <c r="H30" s="358">
        <v>8.1999999999999993</v>
      </c>
      <c r="I30" s="387">
        <v>1.85</v>
      </c>
    </row>
    <row r="31" spans="1:9" ht="15.6" x14ac:dyDescent="0.3">
      <c r="A31" s="7" t="s">
        <v>115</v>
      </c>
      <c r="B31" s="361" t="s">
        <v>92</v>
      </c>
      <c r="C31" s="369">
        <v>2.6</v>
      </c>
      <c r="D31" s="370"/>
      <c r="E31" s="378">
        <v>15.5</v>
      </c>
      <c r="F31" s="358" t="s">
        <v>78</v>
      </c>
      <c r="G31" s="358" t="s">
        <v>78</v>
      </c>
      <c r="H31" s="358">
        <v>5.8</v>
      </c>
      <c r="I31" s="387">
        <v>1.6</v>
      </c>
    </row>
    <row r="32" spans="1:9" ht="15.6" x14ac:dyDescent="0.3">
      <c r="A32" s="7" t="s">
        <v>116</v>
      </c>
      <c r="B32" s="361" t="s">
        <v>145</v>
      </c>
      <c r="C32" s="369"/>
      <c r="D32" s="370">
        <v>0.44</v>
      </c>
      <c r="E32" s="378">
        <v>5.5</v>
      </c>
      <c r="F32" s="358">
        <v>12</v>
      </c>
      <c r="G32" s="358"/>
      <c r="H32" s="358"/>
      <c r="I32" s="387">
        <v>8.6</v>
      </c>
    </row>
    <row r="33" spans="1:10" ht="15.6" x14ac:dyDescent="0.3">
      <c r="A33" s="7"/>
      <c r="B33" s="361" t="s">
        <v>146</v>
      </c>
      <c r="C33" s="369">
        <v>3.84</v>
      </c>
      <c r="D33" s="370"/>
      <c r="E33" s="378"/>
      <c r="F33" s="358"/>
      <c r="G33" s="358"/>
      <c r="H33" s="358">
        <v>14.5</v>
      </c>
      <c r="I33" s="387"/>
    </row>
    <row r="34" spans="1:10" ht="15.6" x14ac:dyDescent="0.3">
      <c r="A34" s="7" t="s">
        <v>117</v>
      </c>
      <c r="B34" s="361" t="s">
        <v>93</v>
      </c>
      <c r="C34" s="369">
        <v>4.8899999999999997</v>
      </c>
      <c r="D34" s="370"/>
      <c r="E34" s="378">
        <v>55</v>
      </c>
      <c r="F34" s="358" t="s">
        <v>78</v>
      </c>
      <c r="G34" s="358">
        <v>11.4</v>
      </c>
      <c r="H34" s="358" t="s">
        <v>78</v>
      </c>
      <c r="I34" s="387">
        <v>2.8</v>
      </c>
    </row>
    <row r="35" spans="1:10" ht="15.6" x14ac:dyDescent="0.3">
      <c r="B35" s="362" t="s">
        <v>137</v>
      </c>
      <c r="C35" s="374">
        <v>62.4</v>
      </c>
      <c r="D35" s="375"/>
      <c r="E35" s="380"/>
      <c r="F35" s="359"/>
      <c r="G35" s="359"/>
      <c r="H35" s="358">
        <v>15</v>
      </c>
      <c r="I35" s="388"/>
    </row>
    <row r="36" spans="1:10" ht="16.2" thickBot="1" x14ac:dyDescent="0.35">
      <c r="B36" s="362" t="s">
        <v>138</v>
      </c>
      <c r="C36" s="376">
        <v>78</v>
      </c>
      <c r="D36" s="377"/>
      <c r="E36" s="381"/>
      <c r="F36" s="382"/>
      <c r="G36" s="382"/>
      <c r="H36" s="383">
        <v>16</v>
      </c>
      <c r="I36" s="389"/>
    </row>
    <row r="38" spans="1:10" ht="15.6" x14ac:dyDescent="0.3">
      <c r="A38" s="3" t="s">
        <v>94</v>
      </c>
      <c r="B38" s="7"/>
      <c r="C38" s="11"/>
      <c r="D38" s="11"/>
      <c r="E38" s="2"/>
      <c r="F38" s="2"/>
      <c r="G38" s="2"/>
      <c r="H38" s="2"/>
      <c r="I38" s="2"/>
      <c r="J38" s="2"/>
    </row>
    <row r="39" spans="1:10" ht="15.6" x14ac:dyDescent="0.3">
      <c r="A39" s="3" t="s">
        <v>95</v>
      </c>
      <c r="B39" s="7"/>
      <c r="C39" s="11"/>
      <c r="D39" s="11"/>
      <c r="E39" s="2"/>
      <c r="F39" s="2"/>
      <c r="G39" s="2"/>
      <c r="H39" s="2"/>
      <c r="I39" s="2"/>
      <c r="J39" s="2"/>
    </row>
    <row r="40" spans="1:10" ht="15.6" x14ac:dyDescent="0.3">
      <c r="A40" s="3" t="s">
        <v>96</v>
      </c>
      <c r="B40" s="7"/>
      <c r="C40" s="11"/>
      <c r="D40" s="11"/>
      <c r="E40" s="2"/>
      <c r="F40" s="2"/>
      <c r="G40" s="2"/>
      <c r="H40" s="2"/>
      <c r="I40" s="2"/>
      <c r="J40" s="2"/>
    </row>
    <row r="41" spans="1:10" ht="15.6" x14ac:dyDescent="0.3">
      <c r="A41" s="3" t="s">
        <v>97</v>
      </c>
      <c r="B41" s="7"/>
      <c r="C41" s="11"/>
      <c r="D41" s="11"/>
      <c r="E41" s="2"/>
      <c r="F41" s="2"/>
      <c r="G41" s="2"/>
      <c r="H41" s="2"/>
      <c r="I41" s="2"/>
      <c r="J41" s="2"/>
    </row>
    <row r="42" spans="1:10" ht="15.6" x14ac:dyDescent="0.3">
      <c r="B42" s="10" t="s">
        <v>141</v>
      </c>
      <c r="F42" s="2"/>
    </row>
    <row r="43" spans="1:10" ht="15" customHeight="1" x14ac:dyDescent="0.3">
      <c r="B43" s="10" t="s">
        <v>139</v>
      </c>
      <c r="C43" s="12"/>
      <c r="D43" s="12"/>
    </row>
    <row r="44" spans="1:10" x14ac:dyDescent="0.3">
      <c r="B44" s="10" t="s">
        <v>147</v>
      </c>
    </row>
    <row r="45" spans="1:10" x14ac:dyDescent="0.3">
      <c r="B45" s="1" t="s">
        <v>232</v>
      </c>
    </row>
  </sheetData>
  <autoFilter ref="A1:J34" xr:uid="{00000000-0009-0000-0000-000002000000}"/>
  <mergeCells count="3">
    <mergeCell ref="E4:I4"/>
    <mergeCell ref="C4:D4"/>
    <mergeCell ref="E5:E7"/>
  </mergeCells>
  <hyperlinks>
    <hyperlink ref="A1" r:id="rId1" location="lbj15param" display="http://net.jogtar.hu/jr/gen/hjegy_doc.cgi?docid=A0800059.FVM - lbj15param" xr:uid="{00000000-0004-0000-0200-000000000000}"/>
    <hyperlink ref="B43" r:id="rId2" xr:uid="{00000000-0004-0000-0200-000001000000}"/>
    <hyperlink ref="B42" r:id="rId3" display="NVT Tanácsadói képzés 2005" xr:uid="{00000000-0004-0000-0200-000002000000}"/>
    <hyperlink ref="B44" r:id="rId4" xr:uid="{00000000-0004-0000-0200-000004000000}"/>
  </hyperlinks>
  <pageMargins left="0.17" right="0.17" top="0.17" bottom="0.23" header="0.17" footer="0.17"/>
  <pageSetup paperSize="9" orientation="landscape"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indowProtection="1" workbookViewId="0">
      <selection activeCell="M12" sqref="M1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átlag és trágyaszámoló</vt:lpstr>
      <vt:lpstr>hígtrágyás sertéstelep</vt:lpstr>
      <vt:lpstr>tágya és Ntartalma (59-2008FVM)</vt:lpstr>
      <vt:lpstr>Munka1</vt:lpstr>
      <vt:lpstr>'átlag és trágyaszámoló'!Nyomtatási_cím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Eszter</dc:creator>
  <cp:lastModifiedBy>Sztahura Erzsébet</cp:lastModifiedBy>
  <cp:lastPrinted>2025-01-16T12:51:35Z</cp:lastPrinted>
  <dcterms:created xsi:type="dcterms:W3CDTF">2013-10-07T11:33:45Z</dcterms:created>
  <dcterms:modified xsi:type="dcterms:W3CDTF">2025-02-12T12:47:26Z</dcterms:modified>
</cp:coreProperties>
</file>